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10" windowWidth="10400" windowHeight="5390"/>
  </bookViews>
  <sheets>
    <sheet name="Tot elem" sheetId="1" r:id="rId1"/>
    <sheet name="Mass Balance" sheetId="6" r:id="rId2"/>
    <sheet name="Figures" sheetId="7" r:id="rId3"/>
  </sheets>
  <calcPr calcId="125725"/>
</workbook>
</file>

<file path=xl/calcChain.xml><?xml version="1.0" encoding="utf-8"?>
<calcChain xmlns="http://schemas.openxmlformats.org/spreadsheetml/2006/main">
  <c r="B17" i="1"/>
  <c r="C17"/>
  <c r="D17"/>
  <c r="E17"/>
  <c r="F17"/>
  <c r="G17"/>
  <c r="H17"/>
  <c r="I17"/>
  <c r="J17"/>
  <c r="K17"/>
  <c r="L17"/>
  <c r="M17"/>
  <c r="N17"/>
  <c r="O17"/>
  <c r="P17"/>
  <c r="Q17"/>
  <c r="R17"/>
  <c r="B18"/>
  <c r="C18"/>
  <c r="D18"/>
  <c r="E18"/>
  <c r="F18"/>
  <c r="G18"/>
  <c r="H18"/>
  <c r="I18"/>
  <c r="J18"/>
  <c r="K18"/>
  <c r="L18"/>
  <c r="M18"/>
  <c r="N18"/>
  <c r="O18"/>
  <c r="P18"/>
  <c r="Q18"/>
  <c r="R18"/>
  <c r="B19"/>
  <c r="C19"/>
  <c r="D19"/>
  <c r="E19"/>
  <c r="F19"/>
  <c r="G19"/>
  <c r="H19"/>
  <c r="I19"/>
  <c r="J19"/>
  <c r="K19"/>
  <c r="L19"/>
  <c r="M19"/>
  <c r="N19"/>
  <c r="O19"/>
  <c r="P19"/>
  <c r="Q19"/>
  <c r="R19"/>
  <c r="B20"/>
  <c r="C20"/>
  <c r="D20"/>
  <c r="E20"/>
  <c r="F20"/>
  <c r="G20"/>
  <c r="H20"/>
  <c r="I20"/>
  <c r="J20"/>
  <c r="K20"/>
  <c r="L20"/>
  <c r="M20"/>
  <c r="N20"/>
  <c r="O20"/>
  <c r="P20"/>
  <c r="Q20"/>
  <c r="R20"/>
  <c r="R16"/>
  <c r="Q16"/>
  <c r="P16"/>
  <c r="O16"/>
  <c r="N16"/>
  <c r="M16"/>
  <c r="L16"/>
  <c r="K16"/>
  <c r="J16"/>
  <c r="I16"/>
  <c r="H16"/>
  <c r="G16"/>
  <c r="F16"/>
  <c r="E16"/>
  <c r="D16"/>
  <c r="C16"/>
  <c r="B16"/>
  <c r="BC2" i="6"/>
  <c r="BD2"/>
  <c r="BC3"/>
  <c r="BD3"/>
  <c r="BC4"/>
  <c r="BD4"/>
  <c r="BC5"/>
  <c r="BD5"/>
  <c r="BC6"/>
  <c r="BD6"/>
  <c r="BD7"/>
  <c r="H7"/>
  <c r="AJ7"/>
  <c r="H2"/>
  <c r="E2"/>
  <c r="H3"/>
  <c r="E3"/>
  <c r="H4"/>
  <c r="E4"/>
  <c r="H5"/>
  <c r="E5"/>
  <c r="H6"/>
  <c r="E6"/>
  <c r="AX2"/>
  <c r="AX3"/>
  <c r="AX4"/>
  <c r="AX5"/>
  <c r="AX6"/>
  <c r="AS2"/>
  <c r="AS3"/>
  <c r="AS4"/>
  <c r="AS5"/>
  <c r="AS6"/>
  <c r="AN2"/>
  <c r="AN3"/>
  <c r="AN4"/>
  <c r="AN5"/>
  <c r="AN6"/>
  <c r="AI2"/>
  <c r="AI3"/>
  <c r="AI4"/>
  <c r="AI5"/>
  <c r="AI6"/>
  <c r="AD2"/>
  <c r="AD3"/>
  <c r="AD4"/>
  <c r="AD5"/>
  <c r="AD6"/>
  <c r="Y2"/>
  <c r="Y3"/>
  <c r="Y4"/>
  <c r="Y5"/>
  <c r="Y6"/>
  <c r="T2"/>
  <c r="T3"/>
  <c r="T4"/>
  <c r="T5"/>
  <c r="T6"/>
  <c r="O2"/>
  <c r="O3"/>
  <c r="O4"/>
  <c r="O5"/>
  <c r="O6"/>
  <c r="J2"/>
  <c r="J3"/>
  <c r="J4"/>
  <c r="J5"/>
  <c r="J6"/>
  <c r="D7"/>
  <c r="AX7"/>
  <c r="AY2"/>
  <c r="AY3"/>
  <c r="BA3"/>
  <c r="AY4"/>
  <c r="AY5"/>
  <c r="AY6"/>
  <c r="AY7"/>
  <c r="AT2"/>
  <c r="AT3"/>
  <c r="AU3"/>
  <c r="AT4"/>
  <c r="AT5"/>
  <c r="AU5"/>
  <c r="AT6"/>
  <c r="AT7"/>
  <c r="AV7"/>
  <c r="AO2"/>
  <c r="AO3"/>
  <c r="AO4"/>
  <c r="AP4"/>
  <c r="AO5"/>
  <c r="AO6"/>
  <c r="AO7"/>
  <c r="AQ7"/>
  <c r="AJ2"/>
  <c r="AK2"/>
  <c r="AJ3"/>
  <c r="AK3"/>
  <c r="AJ4"/>
  <c r="AK4"/>
  <c r="AJ5"/>
  <c r="AK5"/>
  <c r="AJ6"/>
  <c r="AK6"/>
  <c r="AK7"/>
  <c r="AE2"/>
  <c r="AE3"/>
  <c r="AE4"/>
  <c r="AF4"/>
  <c r="AE5"/>
  <c r="AE6"/>
  <c r="AE7"/>
  <c r="Z2"/>
  <c r="AA2"/>
  <c r="Z3"/>
  <c r="AA3"/>
  <c r="Z4"/>
  <c r="AB4"/>
  <c r="Z5"/>
  <c r="Z6"/>
  <c r="AB6"/>
  <c r="Z7"/>
  <c r="AB7"/>
  <c r="U2"/>
  <c r="U3"/>
  <c r="V3"/>
  <c r="U4"/>
  <c r="V4"/>
  <c r="U5"/>
  <c r="V5"/>
  <c r="U6"/>
  <c r="U7"/>
  <c r="P2"/>
  <c r="Q2"/>
  <c r="P3"/>
  <c r="Q3"/>
  <c r="P4"/>
  <c r="Q4"/>
  <c r="P5"/>
  <c r="P6"/>
  <c r="Q6"/>
  <c r="P7"/>
  <c r="K2"/>
  <c r="L2"/>
  <c r="K3"/>
  <c r="L3"/>
  <c r="K4"/>
  <c r="L4"/>
  <c r="K5"/>
  <c r="L5"/>
  <c r="K6"/>
  <c r="K7"/>
  <c r="M7"/>
  <c r="AS7"/>
  <c r="O7"/>
  <c r="AV2"/>
  <c r="AG2"/>
  <c r="W2"/>
  <c r="BA6"/>
  <c r="BA7"/>
  <c r="BA4"/>
  <c r="L6"/>
  <c r="V6"/>
  <c r="V2"/>
  <c r="AF6"/>
  <c r="AF2"/>
  <c r="AP6"/>
  <c r="AP2"/>
  <c r="BA2"/>
  <c r="AU6"/>
  <c r="AU2"/>
  <c r="W3"/>
  <c r="AG6"/>
  <c r="AL4"/>
  <c r="AB3"/>
  <c r="V7"/>
  <c r="AQ6"/>
  <c r="AD7"/>
  <c r="AG3"/>
  <c r="AZ3"/>
  <c r="AL5"/>
  <c r="AA6"/>
  <c r="R3"/>
  <c r="M5"/>
  <c r="M6"/>
  <c r="AA5"/>
  <c r="AB5"/>
  <c r="Q5"/>
  <c r="AF5"/>
  <c r="AP5"/>
  <c r="AZ5"/>
  <c r="BA5"/>
  <c r="AZ6"/>
  <c r="AZ2"/>
  <c r="BC8"/>
  <c r="AZ7"/>
  <c r="AF7"/>
  <c r="AQ4"/>
  <c r="AV6"/>
  <c r="AZ4"/>
  <c r="BE6"/>
  <c r="BE4"/>
  <c r="BE2"/>
  <c r="R2"/>
  <c r="AG4"/>
  <c r="AL7"/>
  <c r="BE7"/>
  <c r="AL2"/>
  <c r="W4"/>
  <c r="AU4"/>
  <c r="BE5"/>
  <c r="T7"/>
  <c r="AG7"/>
  <c r="L7"/>
  <c r="T8"/>
  <c r="AN8"/>
  <c r="BF7"/>
  <c r="BF6"/>
  <c r="BE3"/>
  <c r="BF2"/>
  <c r="AU7"/>
  <c r="O8"/>
  <c r="AI8"/>
  <c r="BC7"/>
  <c r="BF3"/>
  <c r="Y7"/>
  <c r="AN7"/>
  <c r="AA7"/>
  <c r="AA4"/>
  <c r="J8"/>
  <c r="AD8"/>
  <c r="AX8"/>
  <c r="BF4"/>
  <c r="AV3"/>
  <c r="AB2"/>
  <c r="AQ5"/>
  <c r="J7"/>
  <c r="W7"/>
  <c r="AI7"/>
  <c r="Q7"/>
  <c r="Q8"/>
  <c r="AF3"/>
  <c r="AP3"/>
  <c r="Y8"/>
  <c r="AS8"/>
  <c r="BF5"/>
  <c r="L8"/>
  <c r="V8"/>
  <c r="AK8"/>
  <c r="E7"/>
  <c r="M2"/>
  <c r="AQ3"/>
  <c r="M4"/>
  <c r="W6"/>
  <c r="R7"/>
  <c r="R5"/>
  <c r="AQ2"/>
  <c r="M3"/>
  <c r="AL3"/>
  <c r="AV4"/>
  <c r="W5"/>
  <c r="AV5"/>
  <c r="R6"/>
  <c r="AL6"/>
  <c r="R4"/>
  <c r="AP7"/>
  <c r="AG5"/>
  <c r="AF8"/>
  <c r="AP8"/>
  <c r="AU8"/>
  <c r="AA8"/>
  <c r="AZ8"/>
  <c r="BC9"/>
  <c r="BC10"/>
  <c r="AI9"/>
  <c r="AI10"/>
  <c r="Y9"/>
  <c r="Y10"/>
  <c r="AX9"/>
  <c r="AX10"/>
  <c r="AN9"/>
  <c r="AN10"/>
  <c r="AD9"/>
  <c r="AD10"/>
  <c r="T9"/>
  <c r="T10"/>
  <c r="J9"/>
  <c r="J10"/>
  <c r="AS9"/>
  <c r="AS10"/>
  <c r="O9"/>
  <c r="O10"/>
</calcChain>
</file>

<file path=xl/sharedStrings.xml><?xml version="1.0" encoding="utf-8"?>
<sst xmlns="http://schemas.openxmlformats.org/spreadsheetml/2006/main" count="185" uniqueCount="119">
  <si>
    <t>ANALYTE</t>
  </si>
  <si>
    <t>Al2O3</t>
  </si>
  <si>
    <t>CaO</t>
  </si>
  <si>
    <t>Cr2O3</t>
  </si>
  <si>
    <t>Fe2O3</t>
  </si>
  <si>
    <t>K2O</t>
  </si>
  <si>
    <t>MgO</t>
  </si>
  <si>
    <t>MnO</t>
  </si>
  <si>
    <t>Na2O</t>
  </si>
  <si>
    <t>P2O5</t>
  </si>
  <si>
    <t>SiO2</t>
  </si>
  <si>
    <t>TiO2</t>
  </si>
  <si>
    <t>Ba</t>
  </si>
  <si>
    <t>Nb</t>
  </si>
  <si>
    <t>Sr</t>
  </si>
  <si>
    <t>Y</t>
  </si>
  <si>
    <t>Zn</t>
  </si>
  <si>
    <t>Zr</t>
  </si>
  <si>
    <t>LOI</t>
  </si>
  <si>
    <t>Sum</t>
  </si>
  <si>
    <t>METHOD</t>
  </si>
  <si>
    <t>DETECTION</t>
  </si>
  <si>
    <t>UNITS</t>
  </si>
  <si>
    <t>%</t>
  </si>
  <si>
    <t>PPM</t>
  </si>
  <si>
    <t>FEF 2-1</t>
  </si>
  <si>
    <t>FEF 2-2</t>
  </si>
  <si>
    <t>FEF 2-3</t>
  </si>
  <si>
    <t>FEF 2-4</t>
  </si>
  <si>
    <t>FEF 2-5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</si>
  <si>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</si>
  <si>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</si>
  <si>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</si>
  <si>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</si>
  <si>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</si>
  <si>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</si>
  <si>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</si>
  <si>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</si>
  <si>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</si>
  <si>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Si</t>
  </si>
  <si>
    <t>Ti</t>
  </si>
  <si>
    <t>ICP-95</t>
  </si>
  <si>
    <t>Sample</t>
  </si>
  <si>
    <t>Est. thickness of PM</t>
  </si>
  <si>
    <t>BD</t>
  </si>
  <si>
    <t>Zr strain</t>
  </si>
  <si>
    <t>% P</t>
  </si>
  <si>
    <t>P mass</t>
  </si>
  <si>
    <t>P: Tj,w</t>
  </si>
  <si>
    <t>P flux</t>
  </si>
  <si>
    <t>P enrich</t>
  </si>
  <si>
    <t>% K</t>
  </si>
  <si>
    <t>K mass</t>
  </si>
  <si>
    <t>K: Tj,w</t>
  </si>
  <si>
    <t>K flux</t>
  </si>
  <si>
    <t>K enrich</t>
  </si>
  <si>
    <t>Ca %</t>
  </si>
  <si>
    <t>Ca mass</t>
  </si>
  <si>
    <t>Ca: Tj,w</t>
  </si>
  <si>
    <t>Ca flux</t>
  </si>
  <si>
    <t>Ca enrich</t>
  </si>
  <si>
    <t>Na %</t>
  </si>
  <si>
    <t>Na mass</t>
  </si>
  <si>
    <t>Na: Tj,w</t>
  </si>
  <si>
    <t>Na flux</t>
  </si>
  <si>
    <t>Na enrich</t>
  </si>
  <si>
    <t>Mg %</t>
  </si>
  <si>
    <t>Mg mass</t>
  </si>
  <si>
    <t>Mg: Tj,w</t>
  </si>
  <si>
    <t>Mg flux</t>
  </si>
  <si>
    <t>Mg enrich</t>
  </si>
  <si>
    <t>Al %</t>
  </si>
  <si>
    <t>Al mass</t>
  </si>
  <si>
    <t>Al: Tj,w</t>
  </si>
  <si>
    <t>Al flux</t>
  </si>
  <si>
    <t>Al enrich</t>
  </si>
  <si>
    <t>Fe %</t>
  </si>
  <si>
    <t>Fe mass</t>
  </si>
  <si>
    <t>Fe: Tj,w</t>
  </si>
  <si>
    <t>Fe flux</t>
  </si>
  <si>
    <t>Fe enrich</t>
  </si>
  <si>
    <t>Mn %</t>
  </si>
  <si>
    <t>Mn mass</t>
  </si>
  <si>
    <t>Mn: Tj,w</t>
  </si>
  <si>
    <t>Mn flux</t>
  </si>
  <si>
    <t>Mn enrich</t>
  </si>
  <si>
    <t>Si %</t>
  </si>
  <si>
    <t>Si mass</t>
  </si>
  <si>
    <t>Si: Tj,w</t>
  </si>
  <si>
    <t>Si flux</t>
  </si>
  <si>
    <t>Si enrich</t>
  </si>
  <si>
    <t>%Ti</t>
  </si>
  <si>
    <t>Ti Mass</t>
  </si>
  <si>
    <t>Ti: Tj,w</t>
  </si>
  <si>
    <t>Ti flux</t>
  </si>
  <si>
    <t>Ti enrich</t>
  </si>
  <si>
    <t>FEF 1</t>
  </si>
  <si>
    <t>FEF BR</t>
  </si>
  <si>
    <t>solum elemental mass</t>
  </si>
  <si>
    <t>original pm elemental mass</t>
  </si>
  <si>
    <t>% change</t>
  </si>
  <si>
    <t>0-21</t>
  </si>
  <si>
    <t>21-47</t>
  </si>
  <si>
    <t>47-74</t>
  </si>
  <si>
    <t>74-99</t>
  </si>
  <si>
    <t>99-122</t>
  </si>
  <si>
    <t>depth (cm)</t>
  </si>
  <si>
    <t>Thickness (cm)</t>
  </si>
  <si>
    <t>BR</t>
  </si>
  <si>
    <t>Elemental mass transfer where -1.0 is equivalent to total loss and zero is equivalent to no loss</t>
  </si>
  <si>
    <t>~50% of the Fe is retained in secondary kaolinite and goethite</t>
  </si>
  <si>
    <t>At least 80% of the Si is retained in primary minerals, biotite and kaolinite</t>
  </si>
  <si>
    <t>Regolith volume change showing only dilation (of up to 60%) where zero is equivalent to zero volume change</t>
  </si>
  <si>
    <t>~40% of the K is retained in residual biotite.  K is lost uniformly throughout pedon</t>
  </si>
  <si>
    <t>The least amount of loss occurs for Fe (P overall) and the greatest loss occurs in Si (Al overall)</t>
  </si>
  <si>
    <t>FEF - O</t>
  </si>
  <si>
    <t xml:space="preserve">% N </t>
  </si>
  <si>
    <t>%OC</t>
  </si>
  <si>
    <t xml:space="preserve">FEF 2-5 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</si>
</sst>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10"/>
      <color indexed="20"/>
      <name val="Arial"/>
      <family val="2"/>
    </font>
    <font>
      <sz val="10"/>
      <color indexed="10"/>
      <name val="Arial"/>
      <family val="2"/>
    </font>
    <font>
      <sz val="10"/>
      <color indexed="20"/>
      <name val="Arial"/>
      <family val="2"/>
    </font>
    <font>
      <b/>
      <u/>
      <sz val="10"/>
      <name val="Arial"/>
      <family val="2"/>
    </font>
    <font>
      <b/>
      <u/>
      <sz val="10"/>
      <color indexed="20"/>
      <name val="Arial"/>
      <family val="2"/>
    </font>
    <font>
      <u/>
      <sz val="10"/>
      <name val="Arial"/>
      <family val="2"/>
    </font>
    <font>
      <b/>
      <u/>
      <sz val="10"/>
      <color indexed="10"/>
      <name val="Arial"/>
      <family val="2"/>
    </font>
    <font>
      <b/>
      <u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4" xfId="0" applyBorder="1"/>
    <xf numFmtId="2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2" fontId="10" fillId="0" borderId="13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6" fillId="0" borderId="13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2" fontId="16" fillId="0" borderId="13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/>
    <xf numFmtId="1" fontId="0" fillId="0" borderId="0" xfId="0" applyNumberFormat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2861471590871807"/>
          <c:y val="0.16714129483814524"/>
          <c:w val="0.69335416032802866"/>
          <c:h val="0.62692876932050179"/>
        </c:manualLayout>
      </c:layout>
      <c:scatterChart>
        <c:scatterStyle val="lineMarker"/>
        <c:ser>
          <c:idx val="0"/>
          <c:order val="0"/>
          <c:tx>
            <c:v>P</c:v>
          </c:tx>
          <c:spPr>
            <a:ln w="28575">
              <a:noFill/>
            </a:ln>
          </c:spPr>
          <c:xVal>
            <c:numRef>
              <c:f>'Mass Balance'!$H$2:$H$7</c:f>
              <c:numCache>
                <c:formatCode>0.00</c:formatCode>
                <c:ptCount val="6"/>
                <c:pt idx="0">
                  <c:v>0.28470588235294114</c:v>
                </c:pt>
                <c:pt idx="1">
                  <c:v>0.59090909090909105</c:v>
                </c:pt>
                <c:pt idx="2">
                  <c:v>0.59416058394160576</c:v>
                </c:pt>
                <c:pt idx="3">
                  <c:v>0.2962962962962965</c:v>
                </c:pt>
                <c:pt idx="4">
                  <c:v>0.31756756756756777</c:v>
                </c:pt>
                <c:pt idx="5">
                  <c:v>0</c:v>
                </c:pt>
              </c:numCache>
            </c:numRef>
          </c:xVal>
          <c:yVal>
            <c:numRef>
              <c:f>'Mass Balance'!$K$2:$K$7</c:f>
              <c:numCache>
                <c:formatCode>0.00</c:formatCode>
                <c:ptCount val="6"/>
                <c:pt idx="0">
                  <c:v>-0.21442832686360036</c:v>
                </c:pt>
                <c:pt idx="1">
                  <c:v>-9.0773526462500365E-2</c:v>
                </c:pt>
                <c:pt idx="2">
                  <c:v>-0.12714258540400036</c:v>
                </c:pt>
                <c:pt idx="3">
                  <c:v>-3.0158428226666922E-2</c:v>
                </c:pt>
                <c:pt idx="4">
                  <c:v>-6.4795627218571794E-2</c:v>
                </c:pt>
                <c:pt idx="5">
                  <c:v>0</c:v>
                </c:pt>
              </c:numCache>
            </c:numRef>
          </c:yVal>
        </c:ser>
        <c:ser>
          <c:idx val="1"/>
          <c:order val="1"/>
          <c:tx>
            <c:v>K</c:v>
          </c:tx>
          <c:spPr>
            <a:ln w="28575">
              <a:noFill/>
            </a:ln>
          </c:spPr>
          <c:xVal>
            <c:numRef>
              <c:f>'Mass Balance'!$H$2:$H$7</c:f>
              <c:numCache>
                <c:formatCode>0.00</c:formatCode>
                <c:ptCount val="6"/>
                <c:pt idx="0">
                  <c:v>0.28470588235294114</c:v>
                </c:pt>
                <c:pt idx="1">
                  <c:v>0.59090909090909105</c:v>
                </c:pt>
                <c:pt idx="2">
                  <c:v>0.59416058394160576</c:v>
                </c:pt>
                <c:pt idx="3">
                  <c:v>0.2962962962962965</c:v>
                </c:pt>
                <c:pt idx="4">
                  <c:v>0.31756756756756777</c:v>
                </c:pt>
                <c:pt idx="5">
                  <c:v>0</c:v>
                </c:pt>
              </c:numCache>
            </c:numRef>
          </c:xVal>
          <c:yVal>
            <c:numRef>
              <c:f>'Mass Balance'!$P$2:$P$7</c:f>
              <c:numCache>
                <c:formatCode>0.00</c:formatCode>
                <c:ptCount val="6"/>
                <c:pt idx="0">
                  <c:v>-0.59727266201145857</c:v>
                </c:pt>
                <c:pt idx="1">
                  <c:v>-0.56466187913974486</c:v>
                </c:pt>
                <c:pt idx="2">
                  <c:v>-0.58815430718907646</c:v>
                </c:pt>
                <c:pt idx="3">
                  <c:v>-0.59192547862796285</c:v>
                </c:pt>
                <c:pt idx="4">
                  <c:v>-0.6064995686769642</c:v>
                </c:pt>
                <c:pt idx="5">
                  <c:v>0</c:v>
                </c:pt>
              </c:numCache>
            </c:numRef>
          </c:yVal>
        </c:ser>
        <c:ser>
          <c:idx val="2"/>
          <c:order val="2"/>
          <c:tx>
            <c:v>Ca</c:v>
          </c:tx>
          <c:spPr>
            <a:ln w="28575">
              <a:noFill/>
            </a:ln>
          </c:spPr>
          <c:xVal>
            <c:numRef>
              <c:f>'Mass Balance'!$H$2:$H$7</c:f>
              <c:numCache>
                <c:formatCode>0.00</c:formatCode>
                <c:ptCount val="6"/>
                <c:pt idx="0">
                  <c:v>0.28470588235294114</c:v>
                </c:pt>
                <c:pt idx="1">
                  <c:v>0.59090909090909105</c:v>
                </c:pt>
                <c:pt idx="2">
                  <c:v>0.59416058394160576</c:v>
                </c:pt>
                <c:pt idx="3">
                  <c:v>0.2962962962962965</c:v>
                </c:pt>
                <c:pt idx="4">
                  <c:v>0.31756756756756777</c:v>
                </c:pt>
                <c:pt idx="5">
                  <c:v>0</c:v>
                </c:pt>
              </c:numCache>
            </c:numRef>
          </c:xVal>
          <c:yVal>
            <c:numRef>
              <c:f>'Mass Balance'!$U$2:$U$7</c:f>
              <c:numCache>
                <c:formatCode>0.00</c:formatCode>
                <c:ptCount val="6"/>
                <c:pt idx="0">
                  <c:v>0.27420062719882621</c:v>
                </c:pt>
                <c:pt idx="1">
                  <c:v>0.27624261538344008</c:v>
                </c:pt>
                <c:pt idx="2">
                  <c:v>0.22519291076810255</c:v>
                </c:pt>
                <c:pt idx="3">
                  <c:v>0.1949412339590133</c:v>
                </c:pt>
                <c:pt idx="4">
                  <c:v>0.22519291076810211</c:v>
                </c:pt>
                <c:pt idx="5">
                  <c:v>0</c:v>
                </c:pt>
              </c:numCache>
            </c:numRef>
          </c:yVal>
        </c:ser>
        <c:ser>
          <c:idx val="3"/>
          <c:order val="3"/>
          <c:tx>
            <c:v>Na</c:v>
          </c:tx>
          <c:spPr>
            <a:ln w="28575">
              <a:noFill/>
            </a:ln>
          </c:spPr>
          <c:xVal>
            <c:numRef>
              <c:f>'Mass Balance'!$H$2:$H$7</c:f>
              <c:numCache>
                <c:formatCode>0.00</c:formatCode>
                <c:ptCount val="6"/>
                <c:pt idx="0">
                  <c:v>0.28470588235294114</c:v>
                </c:pt>
                <c:pt idx="1">
                  <c:v>0.59090909090909105</c:v>
                </c:pt>
                <c:pt idx="2">
                  <c:v>0.59416058394160576</c:v>
                </c:pt>
                <c:pt idx="3">
                  <c:v>0.2962962962962965</c:v>
                </c:pt>
                <c:pt idx="4">
                  <c:v>0.31756756756756777</c:v>
                </c:pt>
                <c:pt idx="5">
                  <c:v>0</c:v>
                </c:pt>
              </c:numCache>
            </c:numRef>
          </c:xVal>
          <c:yVal>
            <c:numRef>
              <c:f>'Mass Balance'!$Z$2:$Z$7</c:f>
              <c:numCache>
                <c:formatCode>0.00</c:formatCode>
                <c:ptCount val="6"/>
                <c:pt idx="0">
                  <c:v>-1.8174813890567298E-2</c:v>
                </c:pt>
                <c:pt idx="1">
                  <c:v>-7.6485949010872467E-2</c:v>
                </c:pt>
                <c:pt idx="2">
                  <c:v>-6.9464189284343503E-2</c:v>
                </c:pt>
                <c:pt idx="3">
                  <c:v>-0.13839276785587351</c:v>
                </c:pt>
                <c:pt idx="4">
                  <c:v>-0.12991238171272279</c:v>
                </c:pt>
                <c:pt idx="5">
                  <c:v>0</c:v>
                </c:pt>
              </c:numCache>
            </c:numRef>
          </c:yVal>
        </c:ser>
        <c:ser>
          <c:idx val="4"/>
          <c:order val="4"/>
          <c:tx>
            <c:v>Mg</c:v>
          </c:tx>
          <c:spPr>
            <a:ln w="28575">
              <a:noFill/>
            </a:ln>
          </c:spPr>
          <c:xVal>
            <c:numRef>
              <c:f>'Mass Balance'!$H$2:$H$7</c:f>
              <c:numCache>
                <c:formatCode>0.00</c:formatCode>
                <c:ptCount val="6"/>
                <c:pt idx="0">
                  <c:v>0.28470588235294114</c:v>
                </c:pt>
                <c:pt idx="1">
                  <c:v>0.59090909090909105</c:v>
                </c:pt>
                <c:pt idx="2">
                  <c:v>0.59416058394160576</c:v>
                </c:pt>
                <c:pt idx="3">
                  <c:v>0.2962962962962965</c:v>
                </c:pt>
                <c:pt idx="4">
                  <c:v>0.31756756756756777</c:v>
                </c:pt>
                <c:pt idx="5">
                  <c:v>0</c:v>
                </c:pt>
              </c:numCache>
            </c:numRef>
          </c:xVal>
          <c:yVal>
            <c:numRef>
              <c:f>'Mass Balance'!$AE$2:$AE$7</c:f>
              <c:numCache>
                <c:formatCode>0.00</c:formatCode>
                <c:ptCount val="6"/>
                <c:pt idx="0">
                  <c:v>-0.52106238960710183</c:v>
                </c:pt>
                <c:pt idx="1">
                  <c:v>-0.37365215185843625</c:v>
                </c:pt>
                <c:pt idx="2">
                  <c:v>-0.40220196075047021</c:v>
                </c:pt>
                <c:pt idx="3">
                  <c:v>-0.3234795852114376</c:v>
                </c:pt>
                <c:pt idx="4">
                  <c:v>-0.35388369817954979</c:v>
                </c:pt>
                <c:pt idx="5">
                  <c:v>0</c:v>
                </c:pt>
              </c:numCache>
            </c:numRef>
          </c:yVal>
        </c:ser>
        <c:ser>
          <c:idx val="5"/>
          <c:order val="5"/>
          <c:tx>
            <c:v>Al</c:v>
          </c:tx>
          <c:spPr>
            <a:ln w="28575">
              <a:noFill/>
            </a:ln>
          </c:spPr>
          <c:xVal>
            <c:numRef>
              <c:f>'Mass Balance'!$H$2:$H$7</c:f>
              <c:numCache>
                <c:formatCode>0.00</c:formatCode>
                <c:ptCount val="6"/>
                <c:pt idx="0">
                  <c:v>0.28470588235294114</c:v>
                </c:pt>
                <c:pt idx="1">
                  <c:v>0.59090909090909105</c:v>
                </c:pt>
                <c:pt idx="2">
                  <c:v>0.59416058394160576</c:v>
                </c:pt>
                <c:pt idx="3">
                  <c:v>0.2962962962962965</c:v>
                </c:pt>
                <c:pt idx="4">
                  <c:v>0.31756756756756777</c:v>
                </c:pt>
                <c:pt idx="5">
                  <c:v>0</c:v>
                </c:pt>
              </c:numCache>
            </c:numRef>
          </c:xVal>
          <c:yVal>
            <c:numRef>
              <c:f>'Mass Balance'!$AJ$2:$AJ$7</c:f>
              <c:numCache>
                <c:formatCode>0.00</c:formatCode>
                <c:ptCount val="6"/>
                <c:pt idx="0">
                  <c:v>-0.44922412945552348</c:v>
                </c:pt>
                <c:pt idx="1">
                  <c:v>-0.39041733077759777</c:v>
                </c:pt>
                <c:pt idx="2">
                  <c:v>-0.41480063754649388</c:v>
                </c:pt>
                <c:pt idx="3">
                  <c:v>-0.39041733077759755</c:v>
                </c:pt>
                <c:pt idx="4">
                  <c:v>-0.41218814039268337</c:v>
                </c:pt>
                <c:pt idx="5">
                  <c:v>0</c:v>
                </c:pt>
              </c:numCache>
            </c:numRef>
          </c:yVal>
        </c:ser>
        <c:ser>
          <c:idx val="6"/>
          <c:order val="6"/>
          <c:tx>
            <c:v>Fe</c:v>
          </c:tx>
          <c:spPr>
            <a:ln w="28575">
              <a:noFill/>
            </a:ln>
          </c:spPr>
          <c:xVal>
            <c:numRef>
              <c:f>'Mass Balance'!$H$2:$H$7</c:f>
              <c:numCache>
                <c:formatCode>0.00</c:formatCode>
                <c:ptCount val="6"/>
                <c:pt idx="0">
                  <c:v>0.28470588235294114</c:v>
                </c:pt>
                <c:pt idx="1">
                  <c:v>0.59090909090909105</c:v>
                </c:pt>
                <c:pt idx="2">
                  <c:v>0.59416058394160576</c:v>
                </c:pt>
                <c:pt idx="3">
                  <c:v>0.2962962962962965</c:v>
                </c:pt>
                <c:pt idx="4">
                  <c:v>0.31756756756756777</c:v>
                </c:pt>
                <c:pt idx="5">
                  <c:v>0</c:v>
                </c:pt>
              </c:numCache>
            </c:numRef>
          </c:xVal>
          <c:yVal>
            <c:numRef>
              <c:f>'Mass Balance'!$AO$2:$AO$7</c:f>
              <c:numCache>
                <c:formatCode>0.00</c:formatCode>
                <c:ptCount val="6"/>
                <c:pt idx="0">
                  <c:v>-0.55979965501067919</c:v>
                </c:pt>
                <c:pt idx="1">
                  <c:v>-0.45014232424603029</c:v>
                </c:pt>
                <c:pt idx="2">
                  <c:v>-0.47496447075149517</c:v>
                </c:pt>
                <c:pt idx="3">
                  <c:v>-0.40563003620880411</c:v>
                </c:pt>
                <c:pt idx="4">
                  <c:v>-0.44705638831067629</c:v>
                </c:pt>
                <c:pt idx="5">
                  <c:v>0</c:v>
                </c:pt>
              </c:numCache>
            </c:numRef>
          </c:yVal>
        </c:ser>
        <c:ser>
          <c:idx val="7"/>
          <c:order val="7"/>
          <c:tx>
            <c:v>Mn</c:v>
          </c:tx>
          <c:spPr>
            <a:ln w="28575">
              <a:noFill/>
            </a:ln>
          </c:spPr>
          <c:xVal>
            <c:numRef>
              <c:f>'Mass Balance'!$H$2:$H$7</c:f>
              <c:numCache>
                <c:formatCode>0.00</c:formatCode>
                <c:ptCount val="6"/>
                <c:pt idx="0">
                  <c:v>0.28470588235294114</c:v>
                </c:pt>
                <c:pt idx="1">
                  <c:v>0.59090909090909105</c:v>
                </c:pt>
                <c:pt idx="2">
                  <c:v>0.59416058394160576</c:v>
                </c:pt>
                <c:pt idx="3">
                  <c:v>0.2962962962962965</c:v>
                </c:pt>
                <c:pt idx="4">
                  <c:v>0.31756756756756777</c:v>
                </c:pt>
                <c:pt idx="5">
                  <c:v>0</c:v>
                </c:pt>
              </c:numCache>
            </c:numRef>
          </c:xVal>
          <c:yVal>
            <c:numRef>
              <c:f>'Mass Balance'!$AT$2:$AT$7</c:f>
              <c:numCache>
                <c:formatCode>0.00</c:formatCode>
                <c:ptCount val="6"/>
                <c:pt idx="0">
                  <c:v>-0.58695368190554054</c:v>
                </c:pt>
                <c:pt idx="1">
                  <c:v>-0.46217927331450581</c:v>
                </c:pt>
                <c:pt idx="2">
                  <c:v>-0.48369210238192573</c:v>
                </c:pt>
                <c:pt idx="3">
                  <c:v>-0.42632455820213955</c:v>
                </c:pt>
                <c:pt idx="4">
                  <c:v>-0.44681296683777749</c:v>
                </c:pt>
                <c:pt idx="5">
                  <c:v>0</c:v>
                </c:pt>
              </c:numCache>
            </c:numRef>
          </c:yVal>
        </c:ser>
        <c:ser>
          <c:idx val="8"/>
          <c:order val="8"/>
          <c:tx>
            <c:v>Si</c:v>
          </c:tx>
          <c:spPr>
            <a:ln w="28575">
              <a:noFill/>
            </a:ln>
          </c:spPr>
          <c:xVal>
            <c:numRef>
              <c:f>'Mass Balance'!$H$2:$H$7</c:f>
              <c:numCache>
                <c:formatCode>0.00</c:formatCode>
                <c:ptCount val="6"/>
                <c:pt idx="0">
                  <c:v>0.28470588235294114</c:v>
                </c:pt>
                <c:pt idx="1">
                  <c:v>0.59090909090909105</c:v>
                </c:pt>
                <c:pt idx="2">
                  <c:v>0.59416058394160576</c:v>
                </c:pt>
                <c:pt idx="3">
                  <c:v>0.2962962962962965</c:v>
                </c:pt>
                <c:pt idx="4">
                  <c:v>0.31756756756756777</c:v>
                </c:pt>
                <c:pt idx="5">
                  <c:v>0</c:v>
                </c:pt>
              </c:numCache>
            </c:numRef>
          </c:xVal>
          <c:yVal>
            <c:numRef>
              <c:f>'Mass Balance'!$AY$2:$AY$7</c:f>
              <c:numCache>
                <c:formatCode>0.00</c:formatCode>
                <c:ptCount val="6"/>
                <c:pt idx="0">
                  <c:v>-3.3581302173072647E-2</c:v>
                </c:pt>
                <c:pt idx="1">
                  <c:v>-1.5552872856713917E-2</c:v>
                </c:pt>
                <c:pt idx="2">
                  <c:v>-5.9200649096319946E-2</c:v>
                </c:pt>
                <c:pt idx="3">
                  <c:v>-0.20005434246857468</c:v>
                </c:pt>
                <c:pt idx="4">
                  <c:v>-0.18287499644604177</c:v>
                </c:pt>
                <c:pt idx="5">
                  <c:v>0</c:v>
                </c:pt>
              </c:numCache>
            </c:numRef>
          </c:yVal>
        </c:ser>
        <c:ser>
          <c:idx val="9"/>
          <c:order val="9"/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'Mass Balance'!$B$11:$B$13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'Mass Balance'!$C$11:$C$13</c:f>
              <c:numCache>
                <c:formatCode>General</c:formatCode>
                <c:ptCount val="3"/>
                <c:pt idx="0">
                  <c:v>-1</c:v>
                </c:pt>
                <c:pt idx="1">
                  <c:v>0</c:v>
                </c:pt>
                <c:pt idx="2">
                  <c:v>1</c:v>
                </c:pt>
              </c:numCache>
            </c:numRef>
          </c:yVal>
        </c:ser>
        <c:ser>
          <c:idx val="10"/>
          <c:order val="10"/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xVal>
            <c:numRef>
              <c:f>'Mass Balance'!$C$11:$C$13</c:f>
              <c:numCache>
                <c:formatCode>General</c:formatCode>
                <c:ptCount val="3"/>
                <c:pt idx="0">
                  <c:v>-1</c:v>
                </c:pt>
                <c:pt idx="1">
                  <c:v>0</c:v>
                </c:pt>
                <c:pt idx="2">
                  <c:v>1</c:v>
                </c:pt>
              </c:numCache>
            </c:numRef>
          </c:xVal>
          <c:yVal>
            <c:numRef>
              <c:f>'Mass Balance'!$B$11:$B$13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</c:ser>
        <c:axId val="87590016"/>
        <c:axId val="87592320"/>
      </c:scatterChart>
      <c:valAx>
        <c:axId val="87590016"/>
        <c:scaling>
          <c:orientation val="minMax"/>
          <c:max val="1"/>
          <c:min val="-1"/>
        </c:scaling>
        <c:axPos val="b"/>
        <c:title>
          <c:tx>
            <c:rich>
              <a:bodyPr/>
              <a:lstStyle/>
              <a:p>
                <a:pPr>
                  <a:defRPr>
                    <a:sym typeface="Symbol"/>
                  </a:defRPr>
                </a:pPr>
                <a:r>
                  <a:rPr lang="en-US" sz="1600" b="0">
                    <a:sym typeface="Symbol"/>
                  </a:rPr>
                  <a:t></a:t>
                </a:r>
                <a:r>
                  <a:rPr lang="en-US" sz="1000" b="0">
                    <a:sym typeface="Symbol"/>
                  </a:rPr>
                  <a:t>Zr,w</a:t>
                </a:r>
                <a:endParaRPr lang="en-US" sz="1600" b="0">
                  <a:sym typeface="Symbol"/>
                </a:endParaRPr>
              </a:p>
            </c:rich>
          </c:tx>
          <c:layout/>
        </c:title>
        <c:numFmt formatCode="0.00" sourceLinked="1"/>
        <c:maj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7592320"/>
        <c:crossesAt val="-1"/>
        <c:crossBetween val="midCat"/>
      </c:valAx>
      <c:valAx>
        <c:axId val="87592320"/>
        <c:scaling>
          <c:orientation val="minMax"/>
          <c:max val="1"/>
          <c:min val="-1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 b="0">
                    <a:sym typeface="Symbol"/>
                  </a:rPr>
                  <a:t></a:t>
                </a:r>
                <a:r>
                  <a:rPr lang="en-US" sz="1000" b="0">
                    <a:sym typeface="Symbol"/>
                  </a:rPr>
                  <a:t>j,w</a:t>
                </a:r>
                <a:endParaRPr lang="en-US" sz="1600" b="0"/>
              </a:p>
            </c:rich>
          </c:tx>
          <c:layout>
            <c:manualLayout>
              <c:xMode val="edge"/>
              <c:yMode val="edge"/>
              <c:x val="1.9880848227304924E-3"/>
              <c:y val="0.42903178769320505"/>
            </c:manualLayout>
          </c:layout>
        </c:title>
        <c:numFmt formatCode="0.00" sourceLinked="1"/>
        <c:majorTickMark val="in"/>
        <c:tickLblPos val="nextTo"/>
        <c:crossAx val="87590016"/>
        <c:crossesAt val="-1"/>
        <c:crossBetween val="midCat"/>
        <c:majorUnit val="0.5"/>
      </c:valAx>
    </c:plotArea>
    <c:legend>
      <c:legendPos val="r"/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.13003741199016791"/>
          <c:y val="0"/>
          <c:w val="0.86996258800983206"/>
          <c:h val="0.13102686238294289"/>
        </c:manualLayout>
      </c:layout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9645682349407826"/>
          <c:y val="0.17207020997375325"/>
          <c:w val="0.57176897663911441"/>
          <c:h val="0.79234479103573596"/>
        </c:manualLayout>
      </c:layout>
      <c:scatterChart>
        <c:scatterStyle val="lineMarker"/>
        <c:ser>
          <c:idx val="0"/>
          <c:order val="0"/>
          <c:tx>
            <c:strRef>
              <c:f>Figures!$B$1</c:f>
              <c:strCache>
                <c:ptCount val="1"/>
                <c:pt idx="0">
                  <c:v>depth (cm)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Figures!$A$2:$A$11</c:f>
              <c:numCache>
                <c:formatCode>0.00</c:formatCode>
                <c:ptCount val="10"/>
                <c:pt idx="0">
                  <c:v>0.28470588235294114</c:v>
                </c:pt>
                <c:pt idx="1">
                  <c:v>0.28470588235294114</c:v>
                </c:pt>
                <c:pt idx="2">
                  <c:v>0.59090909090909105</c:v>
                </c:pt>
                <c:pt idx="3">
                  <c:v>0.59090909090909105</c:v>
                </c:pt>
                <c:pt idx="4">
                  <c:v>0.59416058394160576</c:v>
                </c:pt>
                <c:pt idx="5">
                  <c:v>0.59416058394160576</c:v>
                </c:pt>
                <c:pt idx="6">
                  <c:v>0.2962962962962965</c:v>
                </c:pt>
                <c:pt idx="7">
                  <c:v>0.2962962962962965</c:v>
                </c:pt>
                <c:pt idx="8">
                  <c:v>0.31756756756756777</c:v>
                </c:pt>
                <c:pt idx="9">
                  <c:v>0.31756756756756777</c:v>
                </c:pt>
              </c:numCache>
            </c:numRef>
          </c:xVal>
          <c:yVal>
            <c:numRef>
              <c:f>Figures!$B$2:$B$11</c:f>
              <c:numCache>
                <c:formatCode>General</c:formatCode>
                <c:ptCount val="10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47</c:v>
                </c:pt>
                <c:pt idx="4">
                  <c:v>47</c:v>
                </c:pt>
                <c:pt idx="5">
                  <c:v>74</c:v>
                </c:pt>
                <c:pt idx="6">
                  <c:v>74</c:v>
                </c:pt>
                <c:pt idx="7">
                  <c:v>99</c:v>
                </c:pt>
                <c:pt idx="8">
                  <c:v>99</c:v>
                </c:pt>
                <c:pt idx="9">
                  <c:v>122</c:v>
                </c:pt>
              </c:numCache>
            </c:numRef>
          </c:yVal>
        </c:ser>
        <c:ser>
          <c:idx val="1"/>
          <c:order val="1"/>
          <c:spPr>
            <a:ln w="63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Figures!$C$2:$C$11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Figures!$B$2:$B$11</c:f>
              <c:numCache>
                <c:formatCode>General</c:formatCode>
                <c:ptCount val="10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47</c:v>
                </c:pt>
                <c:pt idx="4">
                  <c:v>47</c:v>
                </c:pt>
                <c:pt idx="5">
                  <c:v>74</c:v>
                </c:pt>
                <c:pt idx="6">
                  <c:v>74</c:v>
                </c:pt>
                <c:pt idx="7">
                  <c:v>99</c:v>
                </c:pt>
                <c:pt idx="8">
                  <c:v>99</c:v>
                </c:pt>
                <c:pt idx="9">
                  <c:v>122</c:v>
                </c:pt>
              </c:numCache>
            </c:numRef>
          </c:yVal>
        </c:ser>
        <c:axId val="89056768"/>
        <c:axId val="89058688"/>
      </c:scatterChart>
      <c:valAx>
        <c:axId val="89056768"/>
        <c:scaling>
          <c:orientation val="minMax"/>
          <c:max val="1"/>
          <c:min val="-1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ƐZr,w</a:t>
                </a:r>
              </a:p>
            </c:rich>
          </c:tx>
          <c:layout/>
        </c:title>
        <c:numFmt formatCode="0.00" sourceLinked="1"/>
        <c:maj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9058688"/>
        <c:crossesAt val="-1"/>
        <c:crossBetween val="midCat"/>
      </c:valAx>
      <c:valAx>
        <c:axId val="89058688"/>
        <c:scaling>
          <c:orientation val="maxMin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(cm)</a:t>
                </a:r>
              </a:p>
            </c:rich>
          </c:tx>
          <c:layout>
            <c:manualLayout>
              <c:xMode val="edge"/>
              <c:yMode val="edge"/>
              <c:x val="3.9800995024875635E-2"/>
              <c:y val="0.45330658186957407"/>
            </c:manualLayout>
          </c:layout>
        </c:title>
        <c:numFmt formatCode="General" sourceLinked="1"/>
        <c:majorTickMark val="in"/>
        <c:tickLblPos val="nextTo"/>
        <c:crossAx val="89056768"/>
        <c:crossesAt val="-1"/>
        <c:crossBetween val="midCat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9645682349407843"/>
          <c:y val="0.17207020997375319"/>
          <c:w val="0.57176897663911475"/>
          <c:h val="0.79234479103573596"/>
        </c:manualLayout>
      </c:layout>
      <c:scatterChart>
        <c:scatterStyle val="lineMarker"/>
        <c:ser>
          <c:idx val="0"/>
          <c:order val="0"/>
          <c:tx>
            <c:strRef>
              <c:f>Figures!$B$1</c:f>
              <c:strCache>
                <c:ptCount val="1"/>
                <c:pt idx="0">
                  <c:v>depth (cm)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Figures!$F$2:$F$13</c:f>
              <c:numCache>
                <c:formatCode>0.00</c:formatCode>
                <c:ptCount val="12"/>
                <c:pt idx="0">
                  <c:v>-3.3581302173072647E-2</c:v>
                </c:pt>
                <c:pt idx="1">
                  <c:v>-3.3581302173072647E-2</c:v>
                </c:pt>
                <c:pt idx="2">
                  <c:v>-1.5552872856713917E-2</c:v>
                </c:pt>
                <c:pt idx="3">
                  <c:v>-1.5552872856713917E-2</c:v>
                </c:pt>
                <c:pt idx="4">
                  <c:v>-5.9200649096319946E-2</c:v>
                </c:pt>
                <c:pt idx="5">
                  <c:v>-5.9200649096319946E-2</c:v>
                </c:pt>
                <c:pt idx="6">
                  <c:v>-0.20005434246857468</c:v>
                </c:pt>
                <c:pt idx="7">
                  <c:v>-0.20005434246857468</c:v>
                </c:pt>
                <c:pt idx="8">
                  <c:v>-0.18287499644604177</c:v>
                </c:pt>
                <c:pt idx="9">
                  <c:v>-0.18287499644604177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Figures!$B$2:$B$11</c:f>
              <c:numCache>
                <c:formatCode>General</c:formatCode>
                <c:ptCount val="10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47</c:v>
                </c:pt>
                <c:pt idx="4">
                  <c:v>47</c:v>
                </c:pt>
                <c:pt idx="5">
                  <c:v>74</c:v>
                </c:pt>
                <c:pt idx="6">
                  <c:v>74</c:v>
                </c:pt>
                <c:pt idx="7">
                  <c:v>99</c:v>
                </c:pt>
                <c:pt idx="8">
                  <c:v>99</c:v>
                </c:pt>
                <c:pt idx="9">
                  <c:v>122</c:v>
                </c:pt>
              </c:numCache>
            </c:numRef>
          </c:yVal>
        </c:ser>
        <c:ser>
          <c:idx val="1"/>
          <c:order val="1"/>
          <c:spPr>
            <a:ln w="63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Figures!$C$2:$C$11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Figures!$B$2:$B$11</c:f>
              <c:numCache>
                <c:formatCode>General</c:formatCode>
                <c:ptCount val="10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47</c:v>
                </c:pt>
                <c:pt idx="4">
                  <c:v>47</c:v>
                </c:pt>
                <c:pt idx="5">
                  <c:v>74</c:v>
                </c:pt>
                <c:pt idx="6">
                  <c:v>74</c:v>
                </c:pt>
                <c:pt idx="7">
                  <c:v>99</c:v>
                </c:pt>
                <c:pt idx="8">
                  <c:v>99</c:v>
                </c:pt>
                <c:pt idx="9">
                  <c:v>122</c:v>
                </c:pt>
              </c:numCache>
            </c:numRef>
          </c:yVal>
        </c:ser>
        <c:axId val="91352448"/>
        <c:axId val="95553024"/>
      </c:scatterChart>
      <c:valAx>
        <c:axId val="91352448"/>
        <c:scaling>
          <c:orientation val="minMax"/>
          <c:max val="1"/>
          <c:min val="-1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>
                    <a:sym typeface="Symbol"/>
                  </a:rPr>
                  <a:t></a:t>
                </a:r>
                <a:r>
                  <a:rPr lang="en-US"/>
                  <a:t>Si,w</a:t>
                </a:r>
              </a:p>
            </c:rich>
          </c:tx>
          <c:layout/>
        </c:title>
        <c:numFmt formatCode="0.00" sourceLinked="1"/>
        <c:maj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553024"/>
        <c:crossesAt val="-1"/>
        <c:crossBetween val="midCat"/>
      </c:valAx>
      <c:valAx>
        <c:axId val="95553024"/>
        <c:scaling>
          <c:orientation val="maxMin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(cm)</a:t>
                </a:r>
              </a:p>
            </c:rich>
          </c:tx>
          <c:layout>
            <c:manualLayout>
              <c:xMode val="edge"/>
              <c:yMode val="edge"/>
              <c:x val="3.9800995024875635E-2"/>
              <c:y val="0.45330658186957407"/>
            </c:manualLayout>
          </c:layout>
        </c:title>
        <c:numFmt formatCode="General" sourceLinked="1"/>
        <c:majorTickMark val="in"/>
        <c:tickLblPos val="nextTo"/>
        <c:crossAx val="91352448"/>
        <c:crossesAt val="-1"/>
        <c:crossBetween val="midCat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9645682349407865"/>
          <c:y val="0.17207020997375314"/>
          <c:w val="0.57176897663911508"/>
          <c:h val="0.79234479103573596"/>
        </c:manualLayout>
      </c:layout>
      <c:scatterChart>
        <c:scatterStyle val="lineMarker"/>
        <c:ser>
          <c:idx val="0"/>
          <c:order val="0"/>
          <c:tx>
            <c:strRef>
              <c:f>Figures!$B$1</c:f>
              <c:strCache>
                <c:ptCount val="1"/>
                <c:pt idx="0">
                  <c:v>depth (cm)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Figures!$J$2:$J$13</c:f>
              <c:numCache>
                <c:formatCode>0.00</c:formatCode>
                <c:ptCount val="12"/>
                <c:pt idx="0">
                  <c:v>-0.55979965501067919</c:v>
                </c:pt>
                <c:pt idx="1">
                  <c:v>-0.55979965501067919</c:v>
                </c:pt>
                <c:pt idx="2">
                  <c:v>-0.45014232424603029</c:v>
                </c:pt>
                <c:pt idx="3">
                  <c:v>-0.45014232424603029</c:v>
                </c:pt>
                <c:pt idx="4">
                  <c:v>-0.47496447075149517</c:v>
                </c:pt>
                <c:pt idx="5">
                  <c:v>-0.47496447075149517</c:v>
                </c:pt>
                <c:pt idx="6">
                  <c:v>-0.40563003620880411</c:v>
                </c:pt>
                <c:pt idx="7">
                  <c:v>-0.40563003620880411</c:v>
                </c:pt>
                <c:pt idx="8">
                  <c:v>-0.44705638831067629</c:v>
                </c:pt>
                <c:pt idx="9">
                  <c:v>-0.44705638831067629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Figures!$B$2:$B$11</c:f>
              <c:numCache>
                <c:formatCode>General</c:formatCode>
                <c:ptCount val="10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47</c:v>
                </c:pt>
                <c:pt idx="4">
                  <c:v>47</c:v>
                </c:pt>
                <c:pt idx="5">
                  <c:v>74</c:v>
                </c:pt>
                <c:pt idx="6">
                  <c:v>74</c:v>
                </c:pt>
                <c:pt idx="7">
                  <c:v>99</c:v>
                </c:pt>
                <c:pt idx="8">
                  <c:v>99</c:v>
                </c:pt>
                <c:pt idx="9">
                  <c:v>122</c:v>
                </c:pt>
              </c:numCache>
            </c:numRef>
          </c:yVal>
        </c:ser>
        <c:ser>
          <c:idx val="1"/>
          <c:order val="1"/>
          <c:spPr>
            <a:ln w="63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Figures!$C$2:$C$11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Figures!$B$2:$B$11</c:f>
              <c:numCache>
                <c:formatCode>General</c:formatCode>
                <c:ptCount val="10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47</c:v>
                </c:pt>
                <c:pt idx="4">
                  <c:v>47</c:v>
                </c:pt>
                <c:pt idx="5">
                  <c:v>74</c:v>
                </c:pt>
                <c:pt idx="6">
                  <c:v>74</c:v>
                </c:pt>
                <c:pt idx="7">
                  <c:v>99</c:v>
                </c:pt>
                <c:pt idx="8">
                  <c:v>99</c:v>
                </c:pt>
                <c:pt idx="9">
                  <c:v>122</c:v>
                </c:pt>
              </c:numCache>
            </c:numRef>
          </c:yVal>
        </c:ser>
        <c:axId val="95585792"/>
        <c:axId val="95587712"/>
      </c:scatterChart>
      <c:valAx>
        <c:axId val="95585792"/>
        <c:scaling>
          <c:orientation val="minMax"/>
          <c:max val="1"/>
          <c:min val="-1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>
                    <a:sym typeface="Symbol"/>
                  </a:rPr>
                  <a:t></a:t>
                </a:r>
                <a:r>
                  <a:rPr lang="en-US"/>
                  <a:t>Fe,w</a:t>
                </a:r>
              </a:p>
            </c:rich>
          </c:tx>
          <c:layout/>
        </c:title>
        <c:numFmt formatCode="0.00" sourceLinked="1"/>
        <c:maj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5587712"/>
        <c:crossesAt val="-1"/>
        <c:crossBetween val="midCat"/>
      </c:valAx>
      <c:valAx>
        <c:axId val="95587712"/>
        <c:scaling>
          <c:orientation val="maxMin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(cm)</a:t>
                </a:r>
              </a:p>
            </c:rich>
          </c:tx>
          <c:layout>
            <c:manualLayout>
              <c:xMode val="edge"/>
              <c:yMode val="edge"/>
              <c:x val="3.9800995024875635E-2"/>
              <c:y val="0.45330658186957407"/>
            </c:manualLayout>
          </c:layout>
        </c:title>
        <c:numFmt formatCode="General" sourceLinked="1"/>
        <c:majorTickMark val="in"/>
        <c:tickLblPos val="nextTo"/>
        <c:crossAx val="95585792"/>
        <c:crossesAt val="-1"/>
        <c:crossBetween val="midCat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9645682349407887"/>
          <c:y val="0.17207020997375308"/>
          <c:w val="0.57176897663911552"/>
          <c:h val="0.79234479103573596"/>
        </c:manualLayout>
      </c:layout>
      <c:scatterChart>
        <c:scatterStyle val="lineMarker"/>
        <c:ser>
          <c:idx val="0"/>
          <c:order val="0"/>
          <c:tx>
            <c:strRef>
              <c:f>Figures!$B$1</c:f>
              <c:strCache>
                <c:ptCount val="1"/>
                <c:pt idx="0">
                  <c:v>depth (cm)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Figures!$N$2:$N$13</c:f>
              <c:numCache>
                <c:formatCode>0.00</c:formatCode>
                <c:ptCount val="12"/>
                <c:pt idx="0">
                  <c:v>-0.59727266201145857</c:v>
                </c:pt>
                <c:pt idx="1">
                  <c:v>-0.59727266201145857</c:v>
                </c:pt>
                <c:pt idx="2">
                  <c:v>-0.56466187913974486</c:v>
                </c:pt>
                <c:pt idx="3">
                  <c:v>-0.56466187913974486</c:v>
                </c:pt>
                <c:pt idx="4">
                  <c:v>-0.58815430718907646</c:v>
                </c:pt>
                <c:pt idx="5">
                  <c:v>-0.58815430718907646</c:v>
                </c:pt>
                <c:pt idx="6">
                  <c:v>-0.59192547862796285</c:v>
                </c:pt>
                <c:pt idx="7">
                  <c:v>-0.59192547862796285</c:v>
                </c:pt>
                <c:pt idx="8">
                  <c:v>-0.6064995686769642</c:v>
                </c:pt>
                <c:pt idx="9">
                  <c:v>-0.6064995686769642</c:v>
                </c:pt>
                <c:pt idx="10">
                  <c:v>0</c:v>
                </c:pt>
                <c:pt idx="11">
                  <c:v>0</c:v>
                </c:pt>
              </c:numCache>
            </c:numRef>
          </c:xVal>
          <c:yVal>
            <c:numRef>
              <c:f>Figures!$B$2:$B$11</c:f>
              <c:numCache>
                <c:formatCode>General</c:formatCode>
                <c:ptCount val="10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47</c:v>
                </c:pt>
                <c:pt idx="4">
                  <c:v>47</c:v>
                </c:pt>
                <c:pt idx="5">
                  <c:v>74</c:v>
                </c:pt>
                <c:pt idx="6">
                  <c:v>74</c:v>
                </c:pt>
                <c:pt idx="7">
                  <c:v>99</c:v>
                </c:pt>
                <c:pt idx="8">
                  <c:v>99</c:v>
                </c:pt>
                <c:pt idx="9">
                  <c:v>122</c:v>
                </c:pt>
              </c:numCache>
            </c:numRef>
          </c:yVal>
        </c:ser>
        <c:ser>
          <c:idx val="1"/>
          <c:order val="1"/>
          <c:spPr>
            <a:ln w="63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Figures!$C$2:$C$11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Figures!$B$2:$B$11</c:f>
              <c:numCache>
                <c:formatCode>General</c:formatCode>
                <c:ptCount val="10"/>
                <c:pt idx="0">
                  <c:v>0</c:v>
                </c:pt>
                <c:pt idx="1">
                  <c:v>21</c:v>
                </c:pt>
                <c:pt idx="2">
                  <c:v>21</c:v>
                </c:pt>
                <c:pt idx="3">
                  <c:v>47</c:v>
                </c:pt>
                <c:pt idx="4">
                  <c:v>47</c:v>
                </c:pt>
                <c:pt idx="5">
                  <c:v>74</c:v>
                </c:pt>
                <c:pt idx="6">
                  <c:v>74</c:v>
                </c:pt>
                <c:pt idx="7">
                  <c:v>99</c:v>
                </c:pt>
                <c:pt idx="8">
                  <c:v>99</c:v>
                </c:pt>
                <c:pt idx="9">
                  <c:v>122</c:v>
                </c:pt>
              </c:numCache>
            </c:numRef>
          </c:yVal>
        </c:ser>
        <c:axId val="95612288"/>
        <c:axId val="88757760"/>
      </c:scatterChart>
      <c:valAx>
        <c:axId val="95612288"/>
        <c:scaling>
          <c:orientation val="minMax"/>
          <c:max val="1"/>
          <c:min val="-1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="0">
                    <a:sym typeface="Symbol"/>
                  </a:rPr>
                  <a:t></a:t>
                </a:r>
                <a:r>
                  <a:rPr lang="en-US"/>
                  <a:t>K,w</a:t>
                </a:r>
              </a:p>
            </c:rich>
          </c:tx>
          <c:layout/>
        </c:title>
        <c:numFmt formatCode="0.00" sourceLinked="1"/>
        <c:maj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757760"/>
        <c:crossesAt val="-1"/>
        <c:crossBetween val="midCat"/>
      </c:valAx>
      <c:valAx>
        <c:axId val="88757760"/>
        <c:scaling>
          <c:orientation val="maxMin"/>
        </c:scaling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(cm)</a:t>
                </a:r>
              </a:p>
            </c:rich>
          </c:tx>
          <c:layout>
            <c:manualLayout>
              <c:xMode val="edge"/>
              <c:yMode val="edge"/>
              <c:x val="3.9800995024875635E-2"/>
              <c:y val="0.45330658186957407"/>
            </c:manualLayout>
          </c:layout>
        </c:title>
        <c:numFmt formatCode="General" sourceLinked="1"/>
        <c:majorTickMark val="in"/>
        <c:tickLblPos val="nextTo"/>
        <c:crossAx val="95612288"/>
        <c:crossesAt val="-1"/>
        <c:crossBetween val="midCat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13</xdr:row>
      <xdr:rowOff>0</xdr:rowOff>
    </xdr:from>
    <xdr:to>
      <xdr:col>7</xdr:col>
      <xdr:colOff>457200</xdr:colOff>
      <xdr:row>32</xdr:row>
      <xdr:rowOff>9525</xdr:rowOff>
    </xdr:to>
    <xdr:graphicFrame macro="">
      <xdr:nvGraphicFramePr>
        <xdr:cNvPr id="10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714374</xdr:colOff>
      <xdr:row>17</xdr:row>
      <xdr:rowOff>47625</xdr:rowOff>
    </xdr:from>
    <xdr:to>
      <xdr:col>5</xdr:col>
      <xdr:colOff>57149</xdr:colOff>
      <xdr:row>20</xdr:row>
      <xdr:rowOff>95250</xdr:rowOff>
    </xdr:to>
    <xdr:sp macro="" textlink="">
      <xdr:nvSpPr>
        <xdr:cNvPr id="5" name="TextBox 4"/>
        <xdr:cNvSpPr txBox="1"/>
      </xdr:nvSpPr>
      <xdr:spPr>
        <a:xfrm>
          <a:off x="3514724" y="2809875"/>
          <a:ext cx="600075" cy="533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900"/>
            <a:t>Collapse &amp; Addition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0.78344</cdr:x>
      <cdr:y>0.22531</cdr:y>
    </cdr:from>
    <cdr:to>
      <cdr:x>0.98408</cdr:x>
      <cdr:y>0.39815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2343150" y="695325"/>
          <a:ext cx="600075" cy="5334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/>
            <a:t>Dilation &amp; Addition</a:t>
          </a:r>
        </a:p>
      </cdr:txBody>
    </cdr:sp>
  </cdr:relSizeAnchor>
  <cdr:relSizeAnchor xmlns:cdr="http://schemas.openxmlformats.org/drawingml/2006/chartDrawing">
    <cdr:from>
      <cdr:x>0.78025</cdr:x>
      <cdr:y>0.5463</cdr:y>
    </cdr:from>
    <cdr:to>
      <cdr:x>0.98089</cdr:x>
      <cdr:y>0.71914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2333625" y="1685925"/>
          <a:ext cx="600075" cy="533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/>
            <a:t>Collapse &amp; </a:t>
          </a:r>
        </a:p>
        <a:p xmlns:a="http://schemas.openxmlformats.org/drawingml/2006/main">
          <a:pPr algn="ctr"/>
          <a:r>
            <a:rPr lang="en-US" sz="900"/>
            <a:t>Loss</a:t>
          </a:r>
        </a:p>
      </cdr:txBody>
    </cdr:sp>
  </cdr:relSizeAnchor>
  <cdr:relSizeAnchor xmlns:cdr="http://schemas.openxmlformats.org/drawingml/2006/chartDrawing">
    <cdr:from>
      <cdr:x>0.26433</cdr:x>
      <cdr:y>0.54321</cdr:y>
    </cdr:from>
    <cdr:to>
      <cdr:x>0.46497</cdr:x>
      <cdr:y>0.71605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790575" y="1676400"/>
          <a:ext cx="600075" cy="5334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/>
            <a:t>Collapse &amp;</a:t>
          </a:r>
        </a:p>
        <a:p xmlns:a="http://schemas.openxmlformats.org/drawingml/2006/main">
          <a:pPr algn="ctr"/>
          <a:r>
            <a:rPr lang="en-US" sz="900"/>
            <a:t> Loss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152400</xdr:rowOff>
    </xdr:from>
    <xdr:to>
      <xdr:col>3</xdr:col>
      <xdr:colOff>19050</xdr:colOff>
      <xdr:row>38</xdr:row>
      <xdr:rowOff>66675</xdr:rowOff>
    </xdr:to>
    <xdr:graphicFrame macro="">
      <xdr:nvGraphicFramePr>
        <xdr:cNvPr id="21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14</xdr:row>
      <xdr:rowOff>9525</xdr:rowOff>
    </xdr:from>
    <xdr:to>
      <xdr:col>7</xdr:col>
      <xdr:colOff>47625</xdr:colOff>
      <xdr:row>38</xdr:row>
      <xdr:rowOff>85725</xdr:rowOff>
    </xdr:to>
    <xdr:graphicFrame macro="">
      <xdr:nvGraphicFramePr>
        <xdr:cNvPr id="214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11</xdr:col>
      <xdr:colOff>57150</xdr:colOff>
      <xdr:row>38</xdr:row>
      <xdr:rowOff>76200</xdr:rowOff>
    </xdr:to>
    <xdr:graphicFrame macro="">
      <xdr:nvGraphicFramePr>
        <xdr:cNvPr id="214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14</xdr:row>
      <xdr:rowOff>9525</xdr:rowOff>
    </xdr:from>
    <xdr:to>
      <xdr:col>15</xdr:col>
      <xdr:colOff>57150</xdr:colOff>
      <xdr:row>38</xdr:row>
      <xdr:rowOff>85725</xdr:rowOff>
    </xdr:to>
    <xdr:graphicFrame macro="">
      <xdr:nvGraphicFramePr>
        <xdr:cNvPr id="214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200025</xdr:colOff>
      <xdr:row>36</xdr:row>
      <xdr:rowOff>19050</xdr:rowOff>
    </xdr:from>
    <xdr:to>
      <xdr:col>10</xdr:col>
      <xdr:colOff>209551</xdr:colOff>
      <xdr:row>37</xdr:row>
      <xdr:rowOff>85726</xdr:rowOff>
    </xdr:to>
    <xdr:sp macro="" textlink="">
      <xdr:nvSpPr>
        <xdr:cNvPr id="7" name="TextBox 1"/>
        <xdr:cNvSpPr txBox="1"/>
      </xdr:nvSpPr>
      <xdr:spPr>
        <a:xfrm>
          <a:off x="5838825" y="5857875"/>
          <a:ext cx="628651" cy="22860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/>
            <a:t>Flux: -4.1</a:t>
          </a:r>
        </a:p>
      </xdr:txBody>
    </xdr:sp>
    <xdr:clientData/>
  </xdr:twoCellAnchor>
  <xdr:twoCellAnchor>
    <xdr:from>
      <xdr:col>13</xdr:col>
      <xdr:colOff>238125</xdr:colOff>
      <xdr:row>36</xdr:row>
      <xdr:rowOff>38100</xdr:rowOff>
    </xdr:from>
    <xdr:to>
      <xdr:col>14</xdr:col>
      <xdr:colOff>247651</xdr:colOff>
      <xdr:row>37</xdr:row>
      <xdr:rowOff>104776</xdr:rowOff>
    </xdr:to>
    <xdr:sp macro="" textlink="">
      <xdr:nvSpPr>
        <xdr:cNvPr id="8" name="TextBox 1"/>
        <xdr:cNvSpPr txBox="1"/>
      </xdr:nvSpPr>
      <xdr:spPr>
        <a:xfrm>
          <a:off x="8343900" y="5876925"/>
          <a:ext cx="628651" cy="22860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900"/>
            <a:t>Flux: -6.1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0.43781</cdr:x>
      <cdr:y>0.89904</cdr:y>
    </cdr:from>
    <cdr:to>
      <cdr:x>0.76617</cdr:x>
      <cdr:y>0.95673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8199" y="3562349"/>
          <a:ext cx="628651" cy="22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Flux: -6.8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activeCell="B28" sqref="B28"/>
    </sheetView>
  </sheetViews>
  <sheetFormatPr defaultRowHeight="12.5"/>
  <cols>
    <col min="2" max="2" width="6.7265625" bestFit="1" customWidth="1"/>
  </cols>
  <sheetData>
    <row r="1" spans="1:20" ht="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</row>
    <row r="2" spans="1:20" ht="13">
      <c r="A2" s="4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pans="1:20" ht="13">
      <c r="A3" s="4" t="s">
        <v>21</v>
      </c>
      <c r="B3" s="7">
        <v>0.01</v>
      </c>
      <c r="C3" s="7">
        <v>0.01</v>
      </c>
      <c r="D3" s="7">
        <v>0.01</v>
      </c>
      <c r="E3" s="7">
        <v>0.01</v>
      </c>
      <c r="F3" s="7">
        <v>0.01</v>
      </c>
      <c r="G3" s="7">
        <v>0.01</v>
      </c>
      <c r="H3" s="7">
        <v>0.01</v>
      </c>
      <c r="I3" s="7">
        <v>0.01</v>
      </c>
      <c r="J3" s="7">
        <v>0.01</v>
      </c>
      <c r="K3" s="7">
        <v>0.01</v>
      </c>
      <c r="L3" s="7">
        <v>0.01</v>
      </c>
      <c r="M3" s="7">
        <v>10</v>
      </c>
      <c r="N3" s="7">
        <v>10</v>
      </c>
      <c r="O3" s="7">
        <v>10</v>
      </c>
      <c r="P3" s="7">
        <v>10</v>
      </c>
      <c r="Q3" s="7">
        <v>5</v>
      </c>
      <c r="R3" s="7">
        <v>10</v>
      </c>
      <c r="S3" s="7">
        <v>0.01</v>
      </c>
      <c r="T3" s="8">
        <v>0.01</v>
      </c>
    </row>
    <row r="4" spans="1:20" ht="13.5" thickBot="1">
      <c r="A4" s="9" t="s">
        <v>22</v>
      </c>
      <c r="B4" s="10" t="s">
        <v>23</v>
      </c>
      <c r="C4" s="10" t="s">
        <v>23</v>
      </c>
      <c r="D4" s="10" t="s">
        <v>23</v>
      </c>
      <c r="E4" s="10" t="s">
        <v>23</v>
      </c>
      <c r="F4" s="10" t="s">
        <v>23</v>
      </c>
      <c r="G4" s="10" t="s">
        <v>23</v>
      </c>
      <c r="H4" s="10" t="s">
        <v>23</v>
      </c>
      <c r="I4" s="10" t="s">
        <v>23</v>
      </c>
      <c r="J4" s="10" t="s">
        <v>23</v>
      </c>
      <c r="K4" s="10" t="s">
        <v>23</v>
      </c>
      <c r="L4" s="10" t="s">
        <v>23</v>
      </c>
      <c r="M4" s="10" t="s">
        <v>24</v>
      </c>
      <c r="N4" s="10" t="s">
        <v>24</v>
      </c>
      <c r="O4" s="10" t="s">
        <v>24</v>
      </c>
      <c r="P4" s="10" t="s">
        <v>24</v>
      </c>
      <c r="Q4" s="10" t="s">
        <v>24</v>
      </c>
      <c r="R4" s="10" t="s">
        <v>24</v>
      </c>
      <c r="S4" s="10" t="s">
        <v>23</v>
      </c>
      <c r="T4" s="11" t="s">
        <v>23</v>
      </c>
    </row>
    <row r="5" spans="1:20">
      <c r="A5" t="s">
        <v>25</v>
      </c>
      <c r="B5" s="12">
        <v>12.8</v>
      </c>
      <c r="C5" s="12">
        <v>0.78</v>
      </c>
      <c r="D5" s="12">
        <v>0.04</v>
      </c>
      <c r="E5" s="12">
        <v>4.67</v>
      </c>
      <c r="F5" s="12">
        <v>2.65</v>
      </c>
      <c r="G5" s="12">
        <v>1.37</v>
      </c>
      <c r="H5" s="12">
        <v>0.04</v>
      </c>
      <c r="I5" s="12">
        <v>1.34</v>
      </c>
      <c r="J5" s="12">
        <v>0.09</v>
      </c>
      <c r="K5" s="12">
        <v>67.900000000000006</v>
      </c>
      <c r="L5" s="12">
        <v>0.6</v>
      </c>
      <c r="M5" s="12">
        <v>560</v>
      </c>
      <c r="N5" s="12">
        <v>30</v>
      </c>
      <c r="O5" s="12">
        <v>130</v>
      </c>
      <c r="P5" s="12">
        <v>60</v>
      </c>
      <c r="Q5" s="12">
        <v>85</v>
      </c>
      <c r="R5" s="12">
        <v>250</v>
      </c>
      <c r="S5" s="12">
        <v>5.6</v>
      </c>
      <c r="T5" s="12">
        <v>98</v>
      </c>
    </row>
    <row r="6" spans="1:20">
      <c r="A6" t="s">
        <v>26</v>
      </c>
      <c r="B6" s="12">
        <v>13.6</v>
      </c>
      <c r="C6" s="12">
        <v>0.75</v>
      </c>
      <c r="D6" s="12">
        <v>0.03</v>
      </c>
      <c r="E6" s="12">
        <v>5.6</v>
      </c>
      <c r="F6" s="12">
        <v>2.75</v>
      </c>
      <c r="G6" s="12">
        <v>1.72</v>
      </c>
      <c r="H6" s="12">
        <v>0.05</v>
      </c>
      <c r="I6" s="12">
        <v>1.21</v>
      </c>
      <c r="J6" s="12">
        <v>0.1</v>
      </c>
      <c r="K6" s="12">
        <v>66.400000000000006</v>
      </c>
      <c r="L6" s="12">
        <v>0.6</v>
      </c>
      <c r="M6" s="12">
        <v>540</v>
      </c>
      <c r="N6" s="12">
        <v>40</v>
      </c>
      <c r="O6" s="12">
        <v>120</v>
      </c>
      <c r="P6" s="12">
        <v>50</v>
      </c>
      <c r="Q6" s="12">
        <v>95</v>
      </c>
      <c r="R6" s="12">
        <v>240</v>
      </c>
      <c r="S6" s="12">
        <v>5.2</v>
      </c>
      <c r="T6" s="12">
        <v>98.1</v>
      </c>
    </row>
    <row r="7" spans="1:20">
      <c r="A7" t="s">
        <v>27</v>
      </c>
      <c r="B7" s="12">
        <v>13.6</v>
      </c>
      <c r="C7" s="12">
        <v>0.75</v>
      </c>
      <c r="D7" s="12">
        <v>0.02</v>
      </c>
      <c r="E7" s="12">
        <v>5.57</v>
      </c>
      <c r="F7" s="12">
        <v>2.71</v>
      </c>
      <c r="G7" s="12">
        <v>1.71</v>
      </c>
      <c r="H7" s="12">
        <v>0.05</v>
      </c>
      <c r="I7" s="12">
        <v>1.27</v>
      </c>
      <c r="J7" s="12">
        <v>0.1</v>
      </c>
      <c r="K7" s="12">
        <v>66.099999999999994</v>
      </c>
      <c r="L7" s="12">
        <v>0.6</v>
      </c>
      <c r="M7" s="12">
        <v>540</v>
      </c>
      <c r="N7" s="12">
        <v>40</v>
      </c>
      <c r="O7" s="12">
        <v>120</v>
      </c>
      <c r="P7" s="12">
        <v>60</v>
      </c>
      <c r="Q7" s="12">
        <v>98</v>
      </c>
      <c r="R7" s="12">
        <v>250</v>
      </c>
      <c r="S7" s="12">
        <v>6.5</v>
      </c>
      <c r="T7" s="12">
        <v>99</v>
      </c>
    </row>
    <row r="8" spans="1:20">
      <c r="A8" t="s">
        <v>28</v>
      </c>
      <c r="B8" s="12">
        <v>15.3</v>
      </c>
      <c r="C8" s="12">
        <v>0.79</v>
      </c>
      <c r="D8" s="12">
        <v>0.02</v>
      </c>
      <c r="E8" s="12">
        <v>6.81</v>
      </c>
      <c r="F8" s="12">
        <v>2.9</v>
      </c>
      <c r="G8" s="12">
        <v>2.09</v>
      </c>
      <c r="H8" s="12">
        <v>0.06</v>
      </c>
      <c r="I8" s="12">
        <v>1.27</v>
      </c>
      <c r="J8" s="12">
        <v>0.12</v>
      </c>
      <c r="K8" s="12">
        <v>60.7</v>
      </c>
      <c r="L8" s="12">
        <v>0.68</v>
      </c>
      <c r="M8" s="12">
        <v>560</v>
      </c>
      <c r="N8" s="12">
        <v>40</v>
      </c>
      <c r="O8" s="12">
        <v>130</v>
      </c>
      <c r="P8" s="12">
        <v>60</v>
      </c>
      <c r="Q8" s="12">
        <v>110</v>
      </c>
      <c r="R8" s="12">
        <v>270</v>
      </c>
      <c r="S8" s="12">
        <v>4.5999999999999996</v>
      </c>
      <c r="T8" s="12">
        <v>95.5</v>
      </c>
    </row>
    <row r="9" spans="1:20">
      <c r="A9" t="s">
        <v>29</v>
      </c>
      <c r="B9" s="12">
        <v>15.3</v>
      </c>
      <c r="C9" s="12">
        <v>0.84</v>
      </c>
      <c r="D9" s="12">
        <v>0.02</v>
      </c>
      <c r="E9" s="12">
        <v>6.57</v>
      </c>
      <c r="F9" s="12">
        <v>2.9</v>
      </c>
      <c r="G9" s="12">
        <v>2.0699999999999998</v>
      </c>
      <c r="H9" s="12">
        <v>0.06</v>
      </c>
      <c r="I9" s="12">
        <v>1.33</v>
      </c>
      <c r="J9" s="12">
        <v>0.12</v>
      </c>
      <c r="K9" s="12">
        <v>64.3</v>
      </c>
      <c r="L9" s="12">
        <v>0.64</v>
      </c>
      <c r="M9" s="12">
        <v>570</v>
      </c>
      <c r="N9" s="12">
        <v>40</v>
      </c>
      <c r="O9" s="12">
        <v>130</v>
      </c>
      <c r="P9" s="12">
        <v>50</v>
      </c>
      <c r="Q9" s="12">
        <v>107</v>
      </c>
      <c r="R9" s="12">
        <v>280</v>
      </c>
      <c r="S9" s="12">
        <v>3.7</v>
      </c>
      <c r="T9" s="12">
        <v>97.9</v>
      </c>
    </row>
    <row r="11" spans="1:20" ht="13" thickBot="1"/>
    <row r="12" spans="1:20" ht="13">
      <c r="A12" s="1" t="s">
        <v>0</v>
      </c>
      <c r="B12" s="2" t="s">
        <v>30</v>
      </c>
      <c r="C12" s="2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2" t="s">
        <v>37</v>
      </c>
      <c r="J12" s="2" t="s">
        <v>38</v>
      </c>
      <c r="K12" s="2" t="s">
        <v>39</v>
      </c>
      <c r="L12" s="2" t="s">
        <v>40</v>
      </c>
      <c r="M12" s="2" t="s">
        <v>12</v>
      </c>
      <c r="N12" s="2" t="s">
        <v>13</v>
      </c>
      <c r="O12" s="2" t="s">
        <v>14</v>
      </c>
      <c r="P12" s="2" t="s">
        <v>15</v>
      </c>
      <c r="Q12" s="2" t="s">
        <v>16</v>
      </c>
      <c r="R12" s="2" t="s">
        <v>17</v>
      </c>
      <c r="S12" s="2" t="s">
        <v>18</v>
      </c>
      <c r="T12" s="3" t="s">
        <v>19</v>
      </c>
    </row>
    <row r="13" spans="1:20" ht="13">
      <c r="A13" s="4" t="s">
        <v>20</v>
      </c>
      <c r="B13" s="5" t="s">
        <v>41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6"/>
    </row>
    <row r="14" spans="1:20" ht="13">
      <c r="A14" s="4" t="s">
        <v>21</v>
      </c>
      <c r="B14" s="7">
        <v>0.01</v>
      </c>
      <c r="C14" s="7">
        <v>0.01</v>
      </c>
      <c r="D14" s="7">
        <v>0.01</v>
      </c>
      <c r="E14" s="7">
        <v>0.01</v>
      </c>
      <c r="F14" s="7">
        <v>0.01</v>
      </c>
      <c r="G14" s="7">
        <v>0.01</v>
      </c>
      <c r="H14" s="7">
        <v>0.01</v>
      </c>
      <c r="I14" s="7">
        <v>0.01</v>
      </c>
      <c r="J14" s="7">
        <v>0.01</v>
      </c>
      <c r="K14" s="7">
        <v>0.01</v>
      </c>
      <c r="L14" s="7">
        <v>0.01</v>
      </c>
      <c r="M14" s="7">
        <v>10</v>
      </c>
      <c r="N14" s="7">
        <v>10</v>
      </c>
      <c r="O14" s="7">
        <v>10</v>
      </c>
      <c r="P14" s="7">
        <v>10</v>
      </c>
      <c r="Q14" s="7">
        <v>5</v>
      </c>
      <c r="R14" s="7">
        <v>10</v>
      </c>
      <c r="S14" s="7">
        <v>0.01</v>
      </c>
      <c r="T14" s="8">
        <v>0.01</v>
      </c>
    </row>
    <row r="15" spans="1:20" ht="13.5" thickBot="1">
      <c r="A15" s="9" t="s">
        <v>22</v>
      </c>
      <c r="B15" s="13" t="s">
        <v>23</v>
      </c>
      <c r="C15" s="13" t="s">
        <v>23</v>
      </c>
      <c r="D15" s="13" t="s">
        <v>23</v>
      </c>
      <c r="E15" s="13" t="s">
        <v>23</v>
      </c>
      <c r="F15" s="13" t="s">
        <v>23</v>
      </c>
      <c r="G15" s="13" t="s">
        <v>23</v>
      </c>
      <c r="H15" s="13" t="s">
        <v>23</v>
      </c>
      <c r="I15" s="13" t="s">
        <v>23</v>
      </c>
      <c r="J15" s="13" t="s">
        <v>23</v>
      </c>
      <c r="K15" s="13" t="s">
        <v>23</v>
      </c>
      <c r="L15" s="13" t="s">
        <v>23</v>
      </c>
      <c r="M15" s="13" t="s">
        <v>23</v>
      </c>
      <c r="N15" s="13" t="s">
        <v>23</v>
      </c>
      <c r="O15" s="13" t="s">
        <v>23</v>
      </c>
      <c r="P15" s="13" t="s">
        <v>23</v>
      </c>
      <c r="Q15" s="13" t="s">
        <v>23</v>
      </c>
      <c r="R15" s="13" t="s">
        <v>23</v>
      </c>
      <c r="S15" s="13" t="s">
        <v>23</v>
      </c>
      <c r="T15" s="14" t="s">
        <v>23</v>
      </c>
    </row>
    <row r="16" spans="1:20">
      <c r="A16" s="15" t="s">
        <v>25</v>
      </c>
      <c r="B16" s="16">
        <f>(((B5/101.961)*(2)*(26.982)))</f>
        <v>6.7745432076970609</v>
      </c>
      <c r="C16" s="16">
        <f>(((C5/56.077)*(40.078)))</f>
        <v>0.55746277439948644</v>
      </c>
      <c r="D16" s="16">
        <f>(((D5/151.989)*(2)*(51.996)))</f>
        <v>2.736829638987032E-2</v>
      </c>
      <c r="E16" s="16">
        <f>((E5/85.993)*(2)*(18.998))</f>
        <v>2.0634391171374418</v>
      </c>
      <c r="F16" s="16">
        <f>((F5/94.195)*(2)*(39.098))</f>
        <v>2.1998980837624078</v>
      </c>
      <c r="G16" s="16">
        <f>((G5/40.304)*(24.305))</f>
        <v>0.82616737792774919</v>
      </c>
      <c r="H16" s="16">
        <f>((H5/70.937)*(54.938))</f>
        <v>3.0978473857084462E-2</v>
      </c>
      <c r="I16" s="16">
        <f>((I5/61.979)*(2)*(22.99))</f>
        <v>0.99409800093580081</v>
      </c>
      <c r="J16" s="16">
        <f>((J5/141.943)*(2)*(30.974))</f>
        <v>3.9278583656819986E-2</v>
      </c>
      <c r="K16" s="16">
        <f>((K5/64.033)*(32.035))</f>
        <v>33.969617228616499</v>
      </c>
      <c r="L16" s="16">
        <f>((L5/79.865)*(47.867))</f>
        <v>0.35960934076253676</v>
      </c>
      <c r="M16" s="16">
        <f t="shared" ref="M16:R16" si="0">M5/10000</f>
        <v>5.6000000000000001E-2</v>
      </c>
      <c r="N16" s="16">
        <f t="shared" si="0"/>
        <v>3.0000000000000001E-3</v>
      </c>
      <c r="O16" s="16">
        <f t="shared" si="0"/>
        <v>1.2999999999999999E-2</v>
      </c>
      <c r="P16" s="16">
        <f t="shared" si="0"/>
        <v>6.0000000000000001E-3</v>
      </c>
      <c r="Q16" s="16">
        <f t="shared" si="0"/>
        <v>8.5000000000000006E-3</v>
      </c>
      <c r="R16" s="16">
        <f t="shared" si="0"/>
        <v>2.5000000000000001E-2</v>
      </c>
      <c r="S16" s="17">
        <v>5.6</v>
      </c>
      <c r="T16" s="18">
        <v>98</v>
      </c>
    </row>
    <row r="17" spans="1:20">
      <c r="A17" s="15" t="s">
        <v>26</v>
      </c>
      <c r="B17" s="16">
        <f>(((B6/101.961)*(2)*(26.982)))</f>
        <v>7.1979521581781256</v>
      </c>
      <c r="C17" s="16">
        <f>(((C6/56.077)*(40.078)))</f>
        <v>0.53602189846104475</v>
      </c>
      <c r="D17" s="16">
        <f>(((D6/151.989)*(2)*(51.996)))</f>
        <v>2.0526222292402738E-2</v>
      </c>
      <c r="E17" s="16">
        <f>((E6/85.993)*(2)*(18.998))</f>
        <v>2.4743595408928636</v>
      </c>
      <c r="F17" s="16">
        <f>((F6/94.195)*(2)*(39.098))</f>
        <v>2.2829131057911782</v>
      </c>
      <c r="G17" s="16">
        <f>((G6/40.304)*(24.305))</f>
        <v>1.0372320365224295</v>
      </c>
      <c r="H17" s="16">
        <f>((H6/70.937)*(54.938))</f>
        <v>3.8723092321355575E-2</v>
      </c>
      <c r="I17" s="16">
        <f>((I6/61.979)*(2)*(22.99))</f>
        <v>0.89765565756143195</v>
      </c>
      <c r="J17" s="16">
        <f>((J6/141.943)*(2)*(30.974))</f>
        <v>4.3642870729799985E-2</v>
      </c>
      <c r="K17" s="16">
        <f>((K6/64.033)*(32.035))</f>
        <v>33.219183858323049</v>
      </c>
      <c r="L17" s="16">
        <f>((L6/79.865)*(47.867))</f>
        <v>0.35960934076253676</v>
      </c>
      <c r="M17" s="16">
        <f t="shared" ref="M17:R17" si="1">M6/10000</f>
        <v>5.3999999999999999E-2</v>
      </c>
      <c r="N17" s="16">
        <f t="shared" si="1"/>
        <v>4.0000000000000001E-3</v>
      </c>
      <c r="O17" s="16">
        <f t="shared" si="1"/>
        <v>1.2E-2</v>
      </c>
      <c r="P17" s="16">
        <f t="shared" si="1"/>
        <v>5.0000000000000001E-3</v>
      </c>
      <c r="Q17" s="16">
        <f t="shared" si="1"/>
        <v>9.4999999999999998E-3</v>
      </c>
      <c r="R17" s="16">
        <f t="shared" si="1"/>
        <v>2.4E-2</v>
      </c>
      <c r="S17" s="17">
        <v>5.2</v>
      </c>
      <c r="T17" s="18">
        <v>98.1</v>
      </c>
    </row>
    <row r="18" spans="1:20">
      <c r="A18" s="15" t="s">
        <v>27</v>
      </c>
      <c r="B18" s="16">
        <f>(((B7/101.961)*(2)*(26.982)))</f>
        <v>7.1979521581781256</v>
      </c>
      <c r="C18" s="16">
        <f>(((C7/56.077)*(40.078)))</f>
        <v>0.53602189846104475</v>
      </c>
      <c r="D18" s="16">
        <f>(((D7/151.989)*(2)*(51.996)))</f>
        <v>1.368414819493516E-2</v>
      </c>
      <c r="E18" s="16">
        <f>((E7/85.993)*(2)*(18.998))</f>
        <v>2.4611040433523663</v>
      </c>
      <c r="F18" s="16">
        <f>((F7/94.195)*(2)*(39.098))</f>
        <v>2.24970709697967</v>
      </c>
      <c r="G18" s="16">
        <f>((G7/40.304)*(24.305))</f>
        <v>1.0312016177054386</v>
      </c>
      <c r="H18" s="16">
        <f>((H7/70.937)*(54.938))</f>
        <v>3.8723092321355575E-2</v>
      </c>
      <c r="I18" s="16">
        <f>((I7/61.979)*(2)*(22.99))</f>
        <v>0.94216750834960228</v>
      </c>
      <c r="J18" s="16">
        <f>((J7/141.943)*(2)*(30.974))</f>
        <v>4.3642870729799985E-2</v>
      </c>
      <c r="K18" s="16">
        <f>((K7/64.033)*(32.035))</f>
        <v>33.069097184264358</v>
      </c>
      <c r="L18" s="16">
        <f>((L7/79.865)*(47.867))</f>
        <v>0.35960934076253676</v>
      </c>
      <c r="M18" s="16">
        <f t="shared" ref="M18:R18" si="2">M7/10000</f>
        <v>5.3999999999999999E-2</v>
      </c>
      <c r="N18" s="16">
        <f t="shared" si="2"/>
        <v>4.0000000000000001E-3</v>
      </c>
      <c r="O18" s="16">
        <f t="shared" si="2"/>
        <v>1.2E-2</v>
      </c>
      <c r="P18" s="16">
        <f t="shared" si="2"/>
        <v>6.0000000000000001E-3</v>
      </c>
      <c r="Q18" s="16">
        <f t="shared" si="2"/>
        <v>9.7999999999999997E-3</v>
      </c>
      <c r="R18" s="16">
        <f t="shared" si="2"/>
        <v>2.5000000000000001E-2</v>
      </c>
      <c r="S18" s="17">
        <v>6.5</v>
      </c>
      <c r="T18" s="18">
        <v>99</v>
      </c>
    </row>
    <row r="19" spans="1:20">
      <c r="A19" s="15" t="s">
        <v>28</v>
      </c>
      <c r="B19" s="16">
        <f>(((B8/101.961)*(2)*(26.982)))</f>
        <v>8.0976961779503931</v>
      </c>
      <c r="C19" s="16">
        <f>(((C8/56.077)*(40.078)))</f>
        <v>0.56460973304563378</v>
      </c>
      <c r="D19" s="16">
        <f>(((D8/151.989)*(2)*(51.996)))</f>
        <v>1.368414819493516E-2</v>
      </c>
      <c r="E19" s="16">
        <f>((E8/85.993)*(2)*(18.998))</f>
        <v>3.0089979416929289</v>
      </c>
      <c r="F19" s="16">
        <f>((F8/94.195)*(2)*(39.098))</f>
        <v>2.407435638834333</v>
      </c>
      <c r="G19" s="16">
        <f>((G8/40.304)*(24.305))</f>
        <v>1.2603575327510916</v>
      </c>
      <c r="H19" s="16">
        <f>((H8/70.937)*(54.938))</f>
        <v>4.6467710785626691E-2</v>
      </c>
      <c r="I19" s="16">
        <f>((I8/61.979)*(2)*(22.99))</f>
        <v>0.94216750834960228</v>
      </c>
      <c r="J19" s="16">
        <f>((J8/141.943)*(2)*(30.974))</f>
        <v>5.2371444875759982E-2</v>
      </c>
      <c r="K19" s="16">
        <f>((K8/64.033)*(32.035))</f>
        <v>30.367537051207968</v>
      </c>
      <c r="L19" s="16">
        <f>((L8/79.865)*(47.867))</f>
        <v>0.40755725286420835</v>
      </c>
      <c r="M19" s="16">
        <f t="shared" ref="M19:R19" si="3">M8/10000</f>
        <v>5.6000000000000001E-2</v>
      </c>
      <c r="N19" s="16">
        <f t="shared" si="3"/>
        <v>4.0000000000000001E-3</v>
      </c>
      <c r="O19" s="16">
        <f t="shared" si="3"/>
        <v>1.2999999999999999E-2</v>
      </c>
      <c r="P19" s="16">
        <f t="shared" si="3"/>
        <v>6.0000000000000001E-3</v>
      </c>
      <c r="Q19" s="16">
        <f t="shared" si="3"/>
        <v>1.0999999999999999E-2</v>
      </c>
      <c r="R19" s="16">
        <f t="shared" si="3"/>
        <v>2.7E-2</v>
      </c>
      <c r="S19" s="17">
        <v>4.5999999999999996</v>
      </c>
      <c r="T19" s="18">
        <v>95.5</v>
      </c>
    </row>
    <row r="20" spans="1:20">
      <c r="A20" s="15" t="s">
        <v>29</v>
      </c>
      <c r="B20" s="16">
        <f>(((B9/101.961)*(2)*(26.982)))</f>
        <v>8.0976961779503931</v>
      </c>
      <c r="C20" s="16">
        <f>(((C9/56.077)*(40.078)))</f>
        <v>0.60034452627637003</v>
      </c>
      <c r="D20" s="16">
        <f>(((D9/151.989)*(2)*(51.996)))</f>
        <v>1.368414819493516E-2</v>
      </c>
      <c r="E20" s="16">
        <f>((E9/85.993)*(2)*(18.998))</f>
        <v>2.902953961368949</v>
      </c>
      <c r="F20" s="16">
        <f>((F9/94.195)*(2)*(39.098))</f>
        <v>2.407435638834333</v>
      </c>
      <c r="G20" s="16">
        <f>((G9/40.304)*(24.305))</f>
        <v>1.2482966951171097</v>
      </c>
      <c r="H20" s="16">
        <f>((H9/70.937)*(54.938))</f>
        <v>4.6467710785626691E-2</v>
      </c>
      <c r="I20" s="16">
        <f>((I9/61.979)*(2)*(22.99))</f>
        <v>0.98667935913777249</v>
      </c>
      <c r="J20" s="16">
        <f>((J9/141.943)*(2)*(30.974))</f>
        <v>5.2371444875759982E-2</v>
      </c>
      <c r="K20" s="16">
        <f>((K9/64.033)*(32.035))</f>
        <v>32.16857713991223</v>
      </c>
      <c r="L20" s="16">
        <f>((L9/79.865)*(47.867))</f>
        <v>0.38358329681337261</v>
      </c>
      <c r="M20" s="16">
        <f t="shared" ref="M20:R20" si="4">M9/10000</f>
        <v>5.7000000000000002E-2</v>
      </c>
      <c r="N20" s="16">
        <f t="shared" si="4"/>
        <v>4.0000000000000001E-3</v>
      </c>
      <c r="O20" s="16">
        <f t="shared" si="4"/>
        <v>1.2999999999999999E-2</v>
      </c>
      <c r="P20" s="16">
        <f t="shared" si="4"/>
        <v>5.0000000000000001E-3</v>
      </c>
      <c r="Q20" s="16">
        <f t="shared" si="4"/>
        <v>1.0699999999999999E-2</v>
      </c>
      <c r="R20" s="16">
        <f t="shared" si="4"/>
        <v>2.8000000000000001E-2</v>
      </c>
      <c r="S20" s="17">
        <v>3.7</v>
      </c>
      <c r="T20" s="18">
        <v>97.9</v>
      </c>
    </row>
    <row r="22" spans="1:20" ht="13">
      <c r="B22" s="89" t="s">
        <v>116</v>
      </c>
      <c r="C22" s="89" t="s">
        <v>117</v>
      </c>
    </row>
    <row r="23" spans="1:20">
      <c r="A23" t="s">
        <v>115</v>
      </c>
      <c r="B23">
        <v>0.86</v>
      </c>
      <c r="C23">
        <v>48</v>
      </c>
    </row>
    <row r="24" spans="1:20">
      <c r="A24" t="s">
        <v>25</v>
      </c>
      <c r="B24">
        <v>0.02</v>
      </c>
      <c r="C24">
        <v>0.79</v>
      </c>
    </row>
    <row r="25" spans="1:20">
      <c r="A25" t="s">
        <v>26</v>
      </c>
      <c r="B25">
        <v>0.02</v>
      </c>
      <c r="C25">
        <v>0.45</v>
      </c>
    </row>
    <row r="26" spans="1:20">
      <c r="A26" t="s">
        <v>27</v>
      </c>
      <c r="B26">
        <v>1.2999999999999999E-2</v>
      </c>
      <c r="C26">
        <v>0.11</v>
      </c>
    </row>
    <row r="27" spans="1:20">
      <c r="A27" t="s">
        <v>28</v>
      </c>
      <c r="B27">
        <v>1.4999999999999999E-2</v>
      </c>
      <c r="C27">
        <v>0.16</v>
      </c>
    </row>
    <row r="28" spans="1:20">
      <c r="A28" t="s">
        <v>118</v>
      </c>
      <c r="B28">
        <v>0.01</v>
      </c>
      <c r="C28">
        <v>9.9000000000000005E-2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F13"/>
  <sheetViews>
    <sheetView workbookViewId="0">
      <selection activeCell="I16" sqref="I16"/>
    </sheetView>
  </sheetViews>
  <sheetFormatPr defaultRowHeight="12.5"/>
  <cols>
    <col min="3" max="3" width="9.81640625" bestFit="1" customWidth="1"/>
    <col min="4" max="4" width="13.81640625" bestFit="1" customWidth="1"/>
    <col min="5" max="5" width="18.81640625" customWidth="1"/>
  </cols>
  <sheetData>
    <row r="1" spans="1:58" ht="13.5" thickBot="1">
      <c r="A1" s="21" t="s">
        <v>42</v>
      </c>
      <c r="B1" s="21"/>
      <c r="C1" s="84" t="s">
        <v>106</v>
      </c>
      <c r="D1" s="22" t="s">
        <v>107</v>
      </c>
      <c r="E1" s="22" t="s">
        <v>43</v>
      </c>
      <c r="F1" s="23" t="s">
        <v>44</v>
      </c>
      <c r="G1" s="10" t="s">
        <v>17</v>
      </c>
      <c r="H1" s="23" t="s">
        <v>45</v>
      </c>
      <c r="I1" s="24" t="s">
        <v>46</v>
      </c>
      <c r="J1" s="25" t="s">
        <v>47</v>
      </c>
      <c r="K1" s="26" t="s">
        <v>48</v>
      </c>
      <c r="L1" s="27" t="s">
        <v>49</v>
      </c>
      <c r="M1" s="28" t="s">
        <v>50</v>
      </c>
      <c r="N1" s="29" t="s">
        <v>51</v>
      </c>
      <c r="O1" s="25" t="s">
        <v>52</v>
      </c>
      <c r="P1" s="26" t="s">
        <v>53</v>
      </c>
      <c r="Q1" s="27" t="s">
        <v>54</v>
      </c>
      <c r="R1" s="28" t="s">
        <v>55</v>
      </c>
      <c r="S1" s="30" t="s">
        <v>56</v>
      </c>
      <c r="T1" s="25" t="s">
        <v>57</v>
      </c>
      <c r="U1" s="26" t="s">
        <v>58</v>
      </c>
      <c r="V1" s="27" t="s">
        <v>59</v>
      </c>
      <c r="W1" s="31" t="s">
        <v>60</v>
      </c>
      <c r="X1" s="29" t="s">
        <v>61</v>
      </c>
      <c r="Y1" s="25" t="s">
        <v>62</v>
      </c>
      <c r="Z1" s="26" t="s">
        <v>63</v>
      </c>
      <c r="AA1" s="27" t="s">
        <v>64</v>
      </c>
      <c r="AB1" s="28" t="s">
        <v>65</v>
      </c>
      <c r="AC1" s="29" t="s">
        <v>66</v>
      </c>
      <c r="AD1" s="25" t="s">
        <v>67</v>
      </c>
      <c r="AE1" s="26" t="s">
        <v>68</v>
      </c>
      <c r="AF1" s="27" t="s">
        <v>69</v>
      </c>
      <c r="AG1" s="28" t="s">
        <v>70</v>
      </c>
      <c r="AH1" s="29" t="s">
        <v>71</v>
      </c>
      <c r="AI1" s="25" t="s">
        <v>72</v>
      </c>
      <c r="AJ1" s="26" t="s">
        <v>73</v>
      </c>
      <c r="AK1" s="27" t="s">
        <v>74</v>
      </c>
      <c r="AL1" s="28" t="s">
        <v>75</v>
      </c>
      <c r="AM1" s="29" t="s">
        <v>76</v>
      </c>
      <c r="AN1" s="25" t="s">
        <v>77</v>
      </c>
      <c r="AO1" s="26" t="s">
        <v>78</v>
      </c>
      <c r="AP1" s="27" t="s">
        <v>79</v>
      </c>
      <c r="AQ1" s="28" t="s">
        <v>80</v>
      </c>
      <c r="AR1" s="32" t="s">
        <v>81</v>
      </c>
      <c r="AS1" s="25" t="s">
        <v>82</v>
      </c>
      <c r="AT1" s="26" t="s">
        <v>83</v>
      </c>
      <c r="AU1" s="27" t="s">
        <v>84</v>
      </c>
      <c r="AV1" s="28" t="s">
        <v>85</v>
      </c>
      <c r="AW1" s="29" t="s">
        <v>86</v>
      </c>
      <c r="AX1" s="25" t="s">
        <v>87</v>
      </c>
      <c r="AY1" s="26" t="s">
        <v>88</v>
      </c>
      <c r="AZ1" s="27" t="s">
        <v>89</v>
      </c>
      <c r="BA1" s="23" t="s">
        <v>90</v>
      </c>
      <c r="BB1" s="33" t="s">
        <v>91</v>
      </c>
      <c r="BC1" s="34" t="s">
        <v>92</v>
      </c>
      <c r="BD1" s="26" t="s">
        <v>93</v>
      </c>
      <c r="BE1" s="27" t="s">
        <v>94</v>
      </c>
      <c r="BF1" s="31" t="s">
        <v>95</v>
      </c>
    </row>
    <row r="2" spans="1:58">
      <c r="A2" s="35" t="s">
        <v>96</v>
      </c>
      <c r="B2" s="35"/>
      <c r="C2" s="36" t="s">
        <v>101</v>
      </c>
      <c r="D2" s="37">
        <v>21</v>
      </c>
      <c r="E2" s="38">
        <f>D2/(1+(H2))</f>
        <v>16.346153846153847</v>
      </c>
      <c r="F2" s="39">
        <v>1.7</v>
      </c>
      <c r="G2" s="40">
        <v>2.5000000000000001E-2</v>
      </c>
      <c r="H2" s="39">
        <f t="shared" ref="H2:H7" si="0">((F$7*G$7)/(F2*G2))-1</f>
        <v>0.28470588235294114</v>
      </c>
      <c r="I2" s="40">
        <v>3.9278583656819986E-2</v>
      </c>
      <c r="J2" s="41">
        <f t="shared" ref="J2:J7" si="1">D2*F2*I2/100</f>
        <v>1.4022454365484733E-2</v>
      </c>
      <c r="K2" s="40">
        <f t="shared" ref="K2:K7" si="2">((I2*G$7)/(I$7*G2))-1</f>
        <v>-0.21442832686360036</v>
      </c>
      <c r="L2" s="40">
        <f t="shared" ref="L2:L7" si="3">K2*D2*F$7*I$7/100*(1/(H2+1))</f>
        <v>-3.8275456345152666E-3</v>
      </c>
      <c r="M2" s="39">
        <f t="shared" ref="M2:M7" si="4">(F$7/F2)*(1/(H2+1))*(1+K2)</f>
        <v>0.98196459142049952</v>
      </c>
      <c r="N2" s="40">
        <v>2.1998980837624078</v>
      </c>
      <c r="O2" s="41">
        <f t="shared" ref="O2:O7" si="5">D2*F2*N2/100</f>
        <v>0.78536361590317949</v>
      </c>
      <c r="P2" s="40">
        <f t="shared" ref="P2:P7" si="6">((N2*G$7)/(N$7*G2))-1</f>
        <v>-0.59727266201145857</v>
      </c>
      <c r="Q2" s="40">
        <f t="shared" ref="Q2:Q7" si="7">P2*D2*F$7*N$7/100*(1/(H2+1))</f>
        <v>-1.1647488840968205</v>
      </c>
      <c r="R2" s="39">
        <f t="shared" ref="R2:R7" si="8">(F$7/F2)*(1/(H2+1))*(1+P2)</f>
        <v>0.50340917248567685</v>
      </c>
      <c r="S2" s="40">
        <v>0.55746277439948644</v>
      </c>
      <c r="T2" s="41">
        <f t="shared" ref="T2:T7" si="9">D2*F2*S2/100</f>
        <v>0.19901421046061663</v>
      </c>
      <c r="U2" s="40">
        <f t="shared" ref="U2:U7" si="10">((S2*G$7)/(S$7*G2))-1</f>
        <v>0.27420062719882621</v>
      </c>
      <c r="V2" s="40">
        <f t="shared" ref="V2:V7" si="11">U2*D2*F$7*S$7/100*(1/(H2+1))</f>
        <v>4.2826710460616674E-2</v>
      </c>
      <c r="W2" s="39">
        <f t="shared" ref="W2:W7" si="12">(F$7/F2)*(1/(H2+1))*(1+U2)</f>
        <v>1.5927507839985329</v>
      </c>
      <c r="X2" s="40">
        <v>0.99409800093580081</v>
      </c>
      <c r="Y2" s="41">
        <f t="shared" ref="Y2:Y7" si="13">D2*F2*X2/100</f>
        <v>0.35489298633408084</v>
      </c>
      <c r="Z2" s="40">
        <f t="shared" ref="Z2:Z7" si="14">((X2*G$7)/(X$7*G2))-1</f>
        <v>-1.8174813890567298E-2</v>
      </c>
      <c r="AA2" s="40">
        <f t="shared" ref="AA2:AA7" si="15">Z2*D2*F$7*X$7/100*(1/(H2+1))</f>
        <v>-6.5695136659191826E-3</v>
      </c>
      <c r="AB2" s="39">
        <f t="shared" ref="AB2:AB7" si="16">(F$7/F2)*(1/(H2+1))*(1+Z2)</f>
        <v>1.2272814826367908</v>
      </c>
      <c r="AC2" s="40">
        <v>0.82616737792774919</v>
      </c>
      <c r="AD2" s="41">
        <f t="shared" ref="AD2:AD7" si="17">D2*F2*AC2/100</f>
        <v>0.29494175392020644</v>
      </c>
      <c r="AE2" s="40">
        <f t="shared" ref="AE2:AE7" si="18">((AC2*G$7)/(AC$7*G2))-1</f>
        <v>-0.52106238960710183</v>
      </c>
      <c r="AF2" s="40">
        <f t="shared" ref="AF2:AF7" si="19">AE2*D2*F$7*AC$7/100*(1/(H2+1))</f>
        <v>-0.32088324607979352</v>
      </c>
      <c r="AG2" s="39">
        <f t="shared" ref="AG2:AG7" si="20">(F$7/F2)*(1/(H2+1))*(1+AE2)</f>
        <v>0.59867201299112272</v>
      </c>
      <c r="AH2" s="40">
        <v>6.7745432076970609</v>
      </c>
      <c r="AI2" s="41">
        <f t="shared" ref="AI2:AI7" si="21">D2*F2*AH2/100</f>
        <v>2.4185119251478504</v>
      </c>
      <c r="AJ2" s="40">
        <f t="shared" ref="AJ2:AJ7" si="22">((AH2*G$7)/(AH$7*G2))-1</f>
        <v>-0.44922412945552348</v>
      </c>
      <c r="AK2" s="40">
        <f t="shared" ref="AK2:AK7" si="23">AJ2*D2*F$7*AH$7/100*(1/(H2+1))</f>
        <v>-1.9725880748521492</v>
      </c>
      <c r="AL2" s="39">
        <f t="shared" ref="AL2:AL7" si="24">(F$7/F2)*(1/(H2+1))*(1+AJ2)</f>
        <v>0.68846983818059559</v>
      </c>
      <c r="AM2" s="40">
        <v>2.0634391171374418</v>
      </c>
      <c r="AN2" s="41">
        <f t="shared" ref="AN2:AN7" si="25">D2*F2*AM2/100</f>
        <v>0.73664776481806671</v>
      </c>
      <c r="AO2" s="40">
        <f t="shared" ref="AO2:AO7" si="26">((AM2*G$7)/(AM$7*G2))-1</f>
        <v>-0.55979965501067919</v>
      </c>
      <c r="AP2" s="40">
        <f t="shared" ref="AP2:AP7" si="27">AO2*D2*F$7*AM$7/100*(1/(H2+1))</f>
        <v>-0.93678973518193343</v>
      </c>
      <c r="AQ2" s="39">
        <f t="shared" ref="AQ2:AQ7" si="28">(F$7/F2)*(1/(H2+1))*(1+AO2)</f>
        <v>0.55025043123665096</v>
      </c>
      <c r="AR2" s="40">
        <v>3.0978473857084462E-2</v>
      </c>
      <c r="AS2" s="41">
        <f t="shared" ref="AS2:AS7" si="29">D2*F2*AR2/100</f>
        <v>1.1059315166979151E-2</v>
      </c>
      <c r="AT2" s="40">
        <f t="shared" ref="AT2:AT7" si="30">((AR2*G$7)/(AR$7*G2))-1</f>
        <v>-0.58695368190554054</v>
      </c>
      <c r="AU2" s="40">
        <f t="shared" ref="AU2:AU7" si="31">AT2*D2*F$7*AR$7/100*(1/(H2+1))</f>
        <v>-1.5715684833020847E-2</v>
      </c>
      <c r="AV2" s="39">
        <f t="shared" ref="AV2:AV7" si="32">(F$7/F2)*(1/(H2+1))*(1+AT2)</f>
        <v>0.51630789761807439</v>
      </c>
      <c r="AW2" s="40">
        <v>33.969617228616499</v>
      </c>
      <c r="AX2" s="41">
        <f t="shared" ref="AX2:AX7" si="33">D2*F2*AW2/100</f>
        <v>12.127153350616089</v>
      </c>
      <c r="AY2" s="40">
        <f t="shared" ref="AY2:AY7" si="34">((AW2*G$7)/(AW$7*G2))-1</f>
        <v>-3.3581302173072647E-2</v>
      </c>
      <c r="AZ2" s="40">
        <f t="shared" ref="AZ2:AZ7" si="35">AY2*D2*F$7*AW$7/100*(1/(H2+1))</f>
        <v>-0.42139664938391086</v>
      </c>
      <c r="BA2" s="39">
        <f t="shared" ref="BA2:BA7" si="36">(F$7/F2)*(1/(H2+1))*(1+AY2)</f>
        <v>1.2080233722836593</v>
      </c>
      <c r="BB2" s="41">
        <v>0.35960934076253676</v>
      </c>
      <c r="BC2" s="41">
        <f t="shared" ref="BC2:BC7" si="37">D2*F2*BB2/100</f>
        <v>0.12838053465222563</v>
      </c>
      <c r="BD2" s="41">
        <f t="shared" ref="BD2:BD7" si="38">((BB2*G$7)/(BB$7*G2))-1</f>
        <v>-0.4838709677419355</v>
      </c>
      <c r="BE2" s="41">
        <f t="shared" ref="BE2:BE7" si="39">BD2*D2*F$7*BB$7/100*(1/(H2+1))</f>
        <v>-0.12035675123646153</v>
      </c>
      <c r="BF2" s="42">
        <f t="shared" ref="BF2:BF7" si="40">(F$7/F2)*(1/(H2+1))*(1+BD2)</f>
        <v>0.64516129032258063</v>
      </c>
    </row>
    <row r="3" spans="1:58">
      <c r="A3" s="35"/>
      <c r="B3" s="35"/>
      <c r="C3" s="36" t="s">
        <v>102</v>
      </c>
      <c r="D3" s="37">
        <v>26</v>
      </c>
      <c r="E3" s="38">
        <f>D3/(1+(H3))</f>
        <v>16.342857142857142</v>
      </c>
      <c r="F3" s="39">
        <v>1.43</v>
      </c>
      <c r="G3" s="40">
        <v>2.4E-2</v>
      </c>
      <c r="H3" s="39">
        <f t="shared" si="0"/>
        <v>0.59090909090909105</v>
      </c>
      <c r="I3" s="40">
        <v>4.3642870729799985E-2</v>
      </c>
      <c r="J3" s="41">
        <f t="shared" si="1"/>
        <v>1.6226419337339634E-2</v>
      </c>
      <c r="K3" s="40">
        <f t="shared" si="2"/>
        <v>-9.0773526462500365E-2</v>
      </c>
      <c r="L3" s="40">
        <f t="shared" si="3"/>
        <v>-1.6199806626603663E-3</v>
      </c>
      <c r="M3" s="39">
        <f t="shared" si="4"/>
        <v>1.0910717682449995</v>
      </c>
      <c r="N3" s="40">
        <v>2.2829131057911782</v>
      </c>
      <c r="O3" s="41">
        <f t="shared" si="5"/>
        <v>0.84878709273316</v>
      </c>
      <c r="P3" s="40">
        <f t="shared" si="6"/>
        <v>-0.56466187913974486</v>
      </c>
      <c r="Q3" s="40">
        <f t="shared" si="7"/>
        <v>-1.1009321072668401</v>
      </c>
      <c r="R3" s="39">
        <f t="shared" si="8"/>
        <v>0.52240574503230619</v>
      </c>
      <c r="S3" s="40">
        <v>0.53602189846104475</v>
      </c>
      <c r="T3" s="41">
        <f t="shared" si="9"/>
        <v>0.19929294184781643</v>
      </c>
      <c r="U3" s="40">
        <f t="shared" si="10"/>
        <v>0.27624261538344008</v>
      </c>
      <c r="V3" s="40">
        <f t="shared" si="11"/>
        <v>4.3136941847816475E-2</v>
      </c>
      <c r="W3" s="39">
        <f t="shared" si="12"/>
        <v>1.531491138460128</v>
      </c>
      <c r="X3" s="40">
        <v>0.89765565756143195</v>
      </c>
      <c r="Y3" s="41">
        <f t="shared" si="13"/>
        <v>0.33374837348134034</v>
      </c>
      <c r="Z3" s="40">
        <f t="shared" si="14"/>
        <v>-7.6485949010872467E-2</v>
      </c>
      <c r="AA3" s="40">
        <f t="shared" si="15"/>
        <v>-2.7641226518659599E-2</v>
      </c>
      <c r="AB3" s="39">
        <f t="shared" si="16"/>
        <v>1.108216861186953</v>
      </c>
      <c r="AC3" s="40">
        <v>1.0372320365224295</v>
      </c>
      <c r="AD3" s="41">
        <f t="shared" si="17"/>
        <v>0.38564287117903928</v>
      </c>
      <c r="AE3" s="40">
        <f t="shared" si="18"/>
        <v>-0.37365215185843625</v>
      </c>
      <c r="AF3" s="40">
        <f t="shared" si="19"/>
        <v>-0.23005792882096068</v>
      </c>
      <c r="AG3" s="39">
        <f t="shared" si="20"/>
        <v>0.75161741776987645</v>
      </c>
      <c r="AH3" s="40">
        <v>7.1979521581781256</v>
      </c>
      <c r="AI3" s="41">
        <f t="shared" si="21"/>
        <v>2.6761986124106274</v>
      </c>
      <c r="AJ3" s="40">
        <f t="shared" si="22"/>
        <v>-0.39041733077759777</v>
      </c>
      <c r="AK3" s="40">
        <f t="shared" si="23"/>
        <v>-1.7140157875893729</v>
      </c>
      <c r="AL3" s="39">
        <f t="shared" si="24"/>
        <v>0.73149920306688265</v>
      </c>
      <c r="AM3" s="40">
        <v>2.4743595408928636</v>
      </c>
      <c r="AN3" s="41">
        <f t="shared" si="25"/>
        <v>0.91996687730396676</v>
      </c>
      <c r="AO3" s="40">
        <f t="shared" si="26"/>
        <v>-0.45014232424603029</v>
      </c>
      <c r="AP3" s="40">
        <f t="shared" si="27"/>
        <v>-0.75313312269603327</v>
      </c>
      <c r="AQ3" s="39">
        <f t="shared" si="28"/>
        <v>0.65982921090476365</v>
      </c>
      <c r="AR3" s="40">
        <v>3.8723092321355575E-2</v>
      </c>
      <c r="AS3" s="41">
        <f t="shared" si="29"/>
        <v>1.4397245725080004E-2</v>
      </c>
      <c r="AT3" s="40">
        <f t="shared" si="30"/>
        <v>-0.46217927331450581</v>
      </c>
      <c r="AU3" s="40">
        <f t="shared" si="31"/>
        <v>-1.2372354274919995E-2</v>
      </c>
      <c r="AV3" s="39">
        <f t="shared" si="32"/>
        <v>0.64538487202259298</v>
      </c>
      <c r="AW3" s="40">
        <v>33.219183858323049</v>
      </c>
      <c r="AX3" s="41">
        <f t="shared" si="33"/>
        <v>12.35089255852451</v>
      </c>
      <c r="AY3" s="40">
        <f t="shared" si="34"/>
        <v>-1.5552872856713917E-2</v>
      </c>
      <c r="AZ3" s="40">
        <f t="shared" si="35"/>
        <v>-0.19512664147549164</v>
      </c>
      <c r="BA3" s="39">
        <f t="shared" si="36"/>
        <v>1.1813365525719433</v>
      </c>
      <c r="BB3" s="41">
        <v>0.35960934076253676</v>
      </c>
      <c r="BC3" s="41">
        <f t="shared" si="37"/>
        <v>0.13370275289551117</v>
      </c>
      <c r="BD3" s="41">
        <f t="shared" si="38"/>
        <v>-0.4623655913978495</v>
      </c>
      <c r="BE3" s="41">
        <f t="shared" si="39"/>
        <v>-0.11498436749013961</v>
      </c>
      <c r="BF3" s="42">
        <f t="shared" si="40"/>
        <v>0.64516129032258063</v>
      </c>
    </row>
    <row r="4" spans="1:58">
      <c r="A4" s="35"/>
      <c r="B4" s="35"/>
      <c r="C4" s="36" t="s">
        <v>103</v>
      </c>
      <c r="D4" s="37">
        <v>27</v>
      </c>
      <c r="E4" s="38">
        <f>D4/(1+(H4))</f>
        <v>16.936813186813186</v>
      </c>
      <c r="F4" s="39">
        <v>1.37</v>
      </c>
      <c r="G4" s="40">
        <v>2.5000000000000001E-2</v>
      </c>
      <c r="H4" s="39">
        <f t="shared" si="0"/>
        <v>0.59416058394160576</v>
      </c>
      <c r="I4" s="40">
        <v>4.3642870729799985E-2</v>
      </c>
      <c r="J4" s="41">
        <f t="shared" si="1"/>
        <v>1.6143497882953016E-2</v>
      </c>
      <c r="K4" s="40">
        <f t="shared" si="2"/>
        <v>-0.12714258540400036</v>
      </c>
      <c r="L4" s="40">
        <f t="shared" si="3"/>
        <v>-2.3515021170469868E-3</v>
      </c>
      <c r="M4" s="39">
        <f t="shared" si="4"/>
        <v>1.0910717682449995</v>
      </c>
      <c r="N4" s="40">
        <v>2.24970709697967</v>
      </c>
      <c r="O4" s="41">
        <f t="shared" si="5"/>
        <v>0.83216665517277999</v>
      </c>
      <c r="P4" s="40">
        <f t="shared" si="6"/>
        <v>-0.58815430718907646</v>
      </c>
      <c r="Q4" s="40">
        <f t="shared" si="7"/>
        <v>-1.1884120948272203</v>
      </c>
      <c r="R4" s="39">
        <f t="shared" si="8"/>
        <v>0.51480711601365448</v>
      </c>
      <c r="S4" s="40">
        <v>0.53602189846104475</v>
      </c>
      <c r="T4" s="41">
        <f t="shared" si="9"/>
        <v>0.19827450024074048</v>
      </c>
      <c r="U4" s="40">
        <f t="shared" si="10"/>
        <v>0.22519291076810255</v>
      </c>
      <c r="V4" s="40">
        <f t="shared" si="11"/>
        <v>3.6443250240740493E-2</v>
      </c>
      <c r="W4" s="39">
        <f t="shared" si="12"/>
        <v>1.5314911384601282</v>
      </c>
      <c r="X4" s="40">
        <v>0.94216750834960228</v>
      </c>
      <c r="Y4" s="41">
        <f t="shared" si="13"/>
        <v>0.34850776133851791</v>
      </c>
      <c r="Z4" s="40">
        <f t="shared" si="14"/>
        <v>-6.9464189284343503E-2</v>
      </c>
      <c r="AA4" s="40">
        <f t="shared" si="15"/>
        <v>-2.6015988661482144E-2</v>
      </c>
      <c r="AB4" s="39">
        <f t="shared" si="16"/>
        <v>1.1631697633945706</v>
      </c>
      <c r="AC4" s="40">
        <v>1.0312016177054386</v>
      </c>
      <c r="AD4" s="41">
        <f t="shared" si="17"/>
        <v>0.38144147838924175</v>
      </c>
      <c r="AE4" s="40">
        <f t="shared" si="18"/>
        <v>-0.40220196075047021</v>
      </c>
      <c r="AF4" s="40">
        <f t="shared" si="19"/>
        <v>-0.2566360216107581</v>
      </c>
      <c r="AG4" s="39">
        <f t="shared" si="20"/>
        <v>0.74724754906191226</v>
      </c>
      <c r="AH4" s="40">
        <v>7.1979521581781256</v>
      </c>
      <c r="AI4" s="41">
        <f t="shared" si="21"/>
        <v>2.6625225033100888</v>
      </c>
      <c r="AJ4" s="40">
        <f t="shared" si="22"/>
        <v>-0.41480063754649388</v>
      </c>
      <c r="AK4" s="40">
        <f t="shared" si="23"/>
        <v>-1.8872474966899115</v>
      </c>
      <c r="AL4" s="39">
        <f t="shared" si="24"/>
        <v>0.73149920306688265</v>
      </c>
      <c r="AM4" s="40">
        <v>2.4611040433523663</v>
      </c>
      <c r="AN4" s="41">
        <f t="shared" si="25"/>
        <v>0.91036238563604033</v>
      </c>
      <c r="AO4" s="40">
        <f t="shared" si="26"/>
        <v>-0.47496447075149517</v>
      </c>
      <c r="AP4" s="40">
        <f t="shared" si="27"/>
        <v>-0.82354386436395965</v>
      </c>
      <c r="AQ4" s="39">
        <f t="shared" si="28"/>
        <v>0.65629441156063106</v>
      </c>
      <c r="AR4" s="40">
        <v>3.8723092321355575E-2</v>
      </c>
      <c r="AS4" s="41">
        <f t="shared" si="29"/>
        <v>1.4323671849669428E-2</v>
      </c>
      <c r="AT4" s="40">
        <f t="shared" si="30"/>
        <v>-0.48369210238192573</v>
      </c>
      <c r="AU4" s="40">
        <f t="shared" si="31"/>
        <v>-1.3418828150330573E-2</v>
      </c>
      <c r="AV4" s="39">
        <f t="shared" si="32"/>
        <v>0.64538487202259287</v>
      </c>
      <c r="AW4" s="40">
        <v>33.069097184264358</v>
      </c>
      <c r="AX4" s="41">
        <f t="shared" si="33"/>
        <v>12.232259048459387</v>
      </c>
      <c r="AY4" s="40">
        <f t="shared" si="34"/>
        <v>-5.9200649096319946E-2</v>
      </c>
      <c r="AZ4" s="40">
        <f t="shared" si="35"/>
        <v>-0.76972595154061563</v>
      </c>
      <c r="BA4" s="39">
        <f t="shared" si="36"/>
        <v>1.1759991886296</v>
      </c>
      <c r="BB4" s="41">
        <v>0.35960934076253676</v>
      </c>
      <c r="BC4" s="41">
        <f t="shared" si="37"/>
        <v>0.13301949514806236</v>
      </c>
      <c r="BD4" s="41">
        <f t="shared" si="38"/>
        <v>-0.4838709677419355</v>
      </c>
      <c r="BE4" s="41">
        <f t="shared" si="39"/>
        <v>-0.12470577670130845</v>
      </c>
      <c r="BF4" s="42">
        <f t="shared" si="40"/>
        <v>0.64516129032258063</v>
      </c>
    </row>
    <row r="5" spans="1:58">
      <c r="A5" s="43"/>
      <c r="B5" s="43"/>
      <c r="C5" s="36" t="s">
        <v>104</v>
      </c>
      <c r="D5" s="37">
        <v>25</v>
      </c>
      <c r="E5" s="38">
        <f>D5/(1+(H5))</f>
        <v>19.285714285714281</v>
      </c>
      <c r="F5" s="39">
        <v>1.56</v>
      </c>
      <c r="G5" s="40">
        <v>2.7E-2</v>
      </c>
      <c r="H5" s="39">
        <f t="shared" si="0"/>
        <v>0.2962962962962965</v>
      </c>
      <c r="I5" s="40">
        <v>5.2371444875759982E-2</v>
      </c>
      <c r="J5" s="41">
        <f t="shared" si="1"/>
        <v>2.0424863501546393E-2</v>
      </c>
      <c r="K5" s="40">
        <f t="shared" si="2"/>
        <v>-3.0158428226666922E-2</v>
      </c>
      <c r="L5" s="40">
        <f t="shared" si="3"/>
        <v>-6.3513649845360533E-4</v>
      </c>
      <c r="M5" s="39">
        <f t="shared" si="4"/>
        <v>1.3092861218939995</v>
      </c>
      <c r="N5" s="40">
        <v>2.407435638834333</v>
      </c>
      <c r="O5" s="41">
        <f t="shared" si="5"/>
        <v>0.93889989914538985</v>
      </c>
      <c r="P5" s="40">
        <f t="shared" si="6"/>
        <v>-0.59192547862796285</v>
      </c>
      <c r="Q5" s="40">
        <f t="shared" si="7"/>
        <v>-1.3619051008546099</v>
      </c>
      <c r="R5" s="39">
        <f t="shared" si="8"/>
        <v>0.55090060385225015</v>
      </c>
      <c r="S5" s="40">
        <v>0.56460973304563378</v>
      </c>
      <c r="T5" s="41">
        <f t="shared" si="9"/>
        <v>0.22019779588779717</v>
      </c>
      <c r="U5" s="40">
        <f t="shared" si="10"/>
        <v>0.1949412339590133</v>
      </c>
      <c r="V5" s="40">
        <f t="shared" si="11"/>
        <v>3.592279588779717E-2</v>
      </c>
      <c r="W5" s="39">
        <f t="shared" si="12"/>
        <v>1.6131706658446678</v>
      </c>
      <c r="X5" s="40">
        <v>0.94216750834960228</v>
      </c>
      <c r="Y5" s="41">
        <f t="shared" si="13"/>
        <v>0.36744532825634485</v>
      </c>
      <c r="Z5" s="40">
        <f t="shared" si="14"/>
        <v>-0.13839276785587351</v>
      </c>
      <c r="AA5" s="40">
        <f t="shared" si="15"/>
        <v>-5.9019671743655092E-2</v>
      </c>
      <c r="AB5" s="39">
        <f t="shared" si="16"/>
        <v>1.1631697633945706</v>
      </c>
      <c r="AC5" s="40">
        <v>1.2603575327510916</v>
      </c>
      <c r="AD5" s="41">
        <f t="shared" si="17"/>
        <v>0.49153943777292575</v>
      </c>
      <c r="AE5" s="40">
        <f t="shared" si="18"/>
        <v>-0.3234795852114376</v>
      </c>
      <c r="AF5" s="40">
        <f t="shared" si="19"/>
        <v>-0.23503056222707419</v>
      </c>
      <c r="AG5" s="39">
        <f t="shared" si="20"/>
        <v>0.91330255996455911</v>
      </c>
      <c r="AH5" s="40">
        <v>8.0976961779503931</v>
      </c>
      <c r="AI5" s="41">
        <f t="shared" si="21"/>
        <v>3.1581015094006535</v>
      </c>
      <c r="AJ5" s="40">
        <f t="shared" si="22"/>
        <v>-0.39041733077759755</v>
      </c>
      <c r="AK5" s="40">
        <f t="shared" si="23"/>
        <v>-2.0226584905993459</v>
      </c>
      <c r="AL5" s="39">
        <f t="shared" si="24"/>
        <v>0.82293660345024322</v>
      </c>
      <c r="AM5" s="40">
        <v>3.0089979416929289</v>
      </c>
      <c r="AN5" s="41">
        <f t="shared" si="25"/>
        <v>1.1735091972602423</v>
      </c>
      <c r="AO5" s="40">
        <f t="shared" si="26"/>
        <v>-0.40563003620880411</v>
      </c>
      <c r="AP5" s="40">
        <f t="shared" si="27"/>
        <v>-0.80086580273975749</v>
      </c>
      <c r="AQ5" s="39">
        <f t="shared" si="28"/>
        <v>0.80239945111811439</v>
      </c>
      <c r="AR5" s="40">
        <v>4.6467710785626691E-2</v>
      </c>
      <c r="AS5" s="41">
        <f t="shared" si="29"/>
        <v>1.8122407206394409E-2</v>
      </c>
      <c r="AT5" s="40">
        <f t="shared" si="30"/>
        <v>-0.42632455820213955</v>
      </c>
      <c r="AU5" s="40">
        <f t="shared" si="31"/>
        <v>-1.3467592793605586E-2</v>
      </c>
      <c r="AV5" s="39">
        <f t="shared" si="32"/>
        <v>0.77446184642711158</v>
      </c>
      <c r="AW5" s="40">
        <v>30.367537051207968</v>
      </c>
      <c r="AX5" s="41">
        <f t="shared" si="33"/>
        <v>11.843339449971108</v>
      </c>
      <c r="AY5" s="40">
        <f t="shared" si="34"/>
        <v>-0.20005434246857468</v>
      </c>
      <c r="AZ5" s="40">
        <f t="shared" si="35"/>
        <v>-2.9618405500288927</v>
      </c>
      <c r="BA5" s="39">
        <f t="shared" si="36"/>
        <v>1.0799266376674241</v>
      </c>
      <c r="BB5" s="41">
        <v>0.40755725286420835</v>
      </c>
      <c r="BC5" s="41">
        <f t="shared" si="37"/>
        <v>0.15894732861704125</v>
      </c>
      <c r="BD5" s="41">
        <f t="shared" si="38"/>
        <v>-0.45838311429709278</v>
      </c>
      <c r="BE5" s="41">
        <f t="shared" si="39"/>
        <v>-0.13452086414574593</v>
      </c>
      <c r="BF5" s="42">
        <f t="shared" si="40"/>
        <v>0.73118279569892464</v>
      </c>
    </row>
    <row r="6" spans="1:58">
      <c r="A6" s="43"/>
      <c r="B6" s="43"/>
      <c r="C6" s="36" t="s">
        <v>105</v>
      </c>
      <c r="D6" s="37">
        <v>23</v>
      </c>
      <c r="E6" s="38">
        <f>D6/(1+(H6))</f>
        <v>17.456410256410255</v>
      </c>
      <c r="F6" s="39">
        <v>1.48</v>
      </c>
      <c r="G6" s="40">
        <v>2.8000000000000001E-2</v>
      </c>
      <c r="H6" s="39">
        <f t="shared" si="0"/>
        <v>0.31756756756756777</v>
      </c>
      <c r="I6" s="40">
        <v>5.2371444875759982E-2</v>
      </c>
      <c r="J6" s="41">
        <f t="shared" si="1"/>
        <v>1.7827239835708698E-2</v>
      </c>
      <c r="K6" s="40">
        <f t="shared" si="2"/>
        <v>-6.4795627218571794E-2</v>
      </c>
      <c r="L6" s="40">
        <f t="shared" si="3"/>
        <v>-1.2351601642913025E-3</v>
      </c>
      <c r="M6" s="39">
        <f t="shared" si="4"/>
        <v>1.3092861218939993</v>
      </c>
      <c r="N6" s="40">
        <v>2.407435638834333</v>
      </c>
      <c r="O6" s="41">
        <f t="shared" si="5"/>
        <v>0.81949109145920684</v>
      </c>
      <c r="P6" s="40">
        <f t="shared" si="6"/>
        <v>-0.6064995686769642</v>
      </c>
      <c r="Q6" s="40">
        <f t="shared" si="7"/>
        <v>-1.2630761085407927</v>
      </c>
      <c r="R6" s="39">
        <f t="shared" si="8"/>
        <v>0.55090060385225004</v>
      </c>
      <c r="S6" s="40">
        <v>0.60034452627637003</v>
      </c>
      <c r="T6" s="41">
        <f t="shared" si="9"/>
        <v>0.20435727674447635</v>
      </c>
      <c r="U6" s="40">
        <f t="shared" si="10"/>
        <v>0.22519291076810211</v>
      </c>
      <c r="V6" s="40">
        <f t="shared" si="11"/>
        <v>3.7561276744476346E-2</v>
      </c>
      <c r="W6" s="39">
        <f t="shared" si="12"/>
        <v>1.7152700750753425</v>
      </c>
      <c r="X6" s="40">
        <v>0.98667935913777249</v>
      </c>
      <c r="Y6" s="41">
        <f t="shared" si="13"/>
        <v>0.33586565385049771</v>
      </c>
      <c r="Z6" s="40">
        <f t="shared" si="14"/>
        <v>-0.12991238171272279</v>
      </c>
      <c r="AA6" s="40">
        <f t="shared" si="15"/>
        <v>-5.0147946149502291E-2</v>
      </c>
      <c r="AB6" s="39">
        <f t="shared" si="16"/>
        <v>1.2181226656021877</v>
      </c>
      <c r="AC6" s="40">
        <v>1.2482966951171097</v>
      </c>
      <c r="AD6" s="41">
        <f t="shared" si="17"/>
        <v>0.42492019501786416</v>
      </c>
      <c r="AE6" s="40">
        <f t="shared" si="18"/>
        <v>-0.35388369817954979</v>
      </c>
      <c r="AF6" s="40">
        <f t="shared" si="19"/>
        <v>-0.23273260498213572</v>
      </c>
      <c r="AG6" s="39">
        <f t="shared" si="20"/>
        <v>0.90456282254863007</v>
      </c>
      <c r="AH6" s="40">
        <v>8.0976961779503931</v>
      </c>
      <c r="AI6" s="41">
        <f t="shared" si="21"/>
        <v>2.7564557789743138</v>
      </c>
      <c r="AJ6" s="40">
        <f t="shared" si="22"/>
        <v>-0.41218814039268337</v>
      </c>
      <c r="AK6" s="40">
        <f t="shared" si="23"/>
        <v>-1.9328946210256854</v>
      </c>
      <c r="AL6" s="39">
        <f t="shared" si="24"/>
        <v>0.82293660345024311</v>
      </c>
      <c r="AM6" s="40">
        <v>2.902953961368949</v>
      </c>
      <c r="AN6" s="41">
        <f t="shared" si="25"/>
        <v>0.98816552844999028</v>
      </c>
      <c r="AO6" s="40">
        <f t="shared" si="26"/>
        <v>-0.44705638831067629</v>
      </c>
      <c r="AP6" s="40">
        <f t="shared" si="27"/>
        <v>-0.7989344715500093</v>
      </c>
      <c r="AQ6" s="39">
        <f t="shared" si="28"/>
        <v>0.77412105636505302</v>
      </c>
      <c r="AR6" s="40">
        <v>4.6467710785626691E-2</v>
      </c>
      <c r="AS6" s="41">
        <f t="shared" si="29"/>
        <v>1.5817608751427327E-2</v>
      </c>
      <c r="AT6" s="40">
        <f t="shared" si="30"/>
        <v>-0.44681296683777749</v>
      </c>
      <c r="AU6" s="40">
        <f t="shared" si="31"/>
        <v>-1.2775991248572668E-2</v>
      </c>
      <c r="AV6" s="39">
        <f t="shared" si="32"/>
        <v>0.77446184642711136</v>
      </c>
      <c r="AW6" s="40">
        <v>32.16857713991223</v>
      </c>
      <c r="AX6" s="41">
        <f t="shared" si="33"/>
        <v>10.950183658426122</v>
      </c>
      <c r="AY6" s="40">
        <f t="shared" si="34"/>
        <v>-0.18287499644604177</v>
      </c>
      <c r="AZ6" s="40">
        <f t="shared" si="35"/>
        <v>-2.450683541573877</v>
      </c>
      <c r="BA6" s="39">
        <f t="shared" si="36"/>
        <v>1.1439750049755413</v>
      </c>
      <c r="BB6" s="41">
        <v>0.38358329681337261</v>
      </c>
      <c r="BC6" s="41">
        <f t="shared" si="37"/>
        <v>0.13057175423527204</v>
      </c>
      <c r="BD6" s="41">
        <f t="shared" si="38"/>
        <v>-0.50844854070660506</v>
      </c>
      <c r="BE6" s="41">
        <f t="shared" si="39"/>
        <v>-0.13506015828710943</v>
      </c>
      <c r="BF6" s="42">
        <f t="shared" si="40"/>
        <v>0.68817204301075274</v>
      </c>
    </row>
    <row r="7" spans="1:58" ht="13">
      <c r="A7" s="43" t="s">
        <v>97</v>
      </c>
      <c r="B7" s="43"/>
      <c r="C7" s="36" t="s">
        <v>108</v>
      </c>
      <c r="D7" s="44">
        <f>SUM(D2:D6)</f>
        <v>122</v>
      </c>
      <c r="E7" s="45">
        <f>SUM(E2:E6)</f>
        <v>86.367948717948707</v>
      </c>
      <c r="F7" s="39">
        <v>2.73</v>
      </c>
      <c r="G7" s="38">
        <v>0.02</v>
      </c>
      <c r="H7" s="39">
        <f t="shared" si="0"/>
        <v>0</v>
      </c>
      <c r="I7" s="40">
        <v>0.04</v>
      </c>
      <c r="J7" s="41">
        <f t="shared" si="1"/>
        <v>0.13322400000000001</v>
      </c>
      <c r="K7" s="40">
        <f t="shared" si="2"/>
        <v>0</v>
      </c>
      <c r="L7" s="40">
        <f t="shared" si="3"/>
        <v>0</v>
      </c>
      <c r="M7" s="39">
        <f t="shared" si="4"/>
        <v>1</v>
      </c>
      <c r="N7" s="40">
        <v>4.37</v>
      </c>
      <c r="O7" s="41">
        <f t="shared" si="5"/>
        <v>14.554722000000002</v>
      </c>
      <c r="P7" s="40">
        <f t="shared" si="6"/>
        <v>0</v>
      </c>
      <c r="Q7" s="40">
        <f t="shared" si="7"/>
        <v>0</v>
      </c>
      <c r="R7" s="39">
        <f t="shared" si="8"/>
        <v>1</v>
      </c>
      <c r="S7" s="40">
        <v>0.35</v>
      </c>
      <c r="T7" s="41">
        <f t="shared" si="9"/>
        <v>1.16571</v>
      </c>
      <c r="U7" s="40">
        <f t="shared" si="10"/>
        <v>0</v>
      </c>
      <c r="V7" s="40">
        <f t="shared" si="11"/>
        <v>0</v>
      </c>
      <c r="W7" s="39">
        <f t="shared" si="12"/>
        <v>1</v>
      </c>
      <c r="X7" s="40">
        <v>0.81</v>
      </c>
      <c r="Y7" s="41">
        <f t="shared" si="13"/>
        <v>2.6977860000000002</v>
      </c>
      <c r="Z7" s="40">
        <f t="shared" si="14"/>
        <v>0</v>
      </c>
      <c r="AA7" s="40">
        <f t="shared" si="15"/>
        <v>0</v>
      </c>
      <c r="AB7" s="39">
        <f t="shared" si="16"/>
        <v>1</v>
      </c>
      <c r="AC7" s="40">
        <v>1.38</v>
      </c>
      <c r="AD7" s="41">
        <f t="shared" si="17"/>
        <v>4.596228</v>
      </c>
      <c r="AE7" s="40">
        <f t="shared" si="18"/>
        <v>0</v>
      </c>
      <c r="AF7" s="40">
        <f t="shared" si="19"/>
        <v>0</v>
      </c>
      <c r="AG7" s="39">
        <f t="shared" si="20"/>
        <v>1</v>
      </c>
      <c r="AH7" s="40">
        <v>9.84</v>
      </c>
      <c r="AI7" s="41">
        <f t="shared" si="21"/>
        <v>32.773103999999996</v>
      </c>
      <c r="AJ7" s="40">
        <f t="shared" si="22"/>
        <v>0</v>
      </c>
      <c r="AK7" s="40">
        <f t="shared" si="23"/>
        <v>0</v>
      </c>
      <c r="AL7" s="39">
        <f t="shared" si="24"/>
        <v>1</v>
      </c>
      <c r="AM7" s="40">
        <v>3.75</v>
      </c>
      <c r="AN7" s="41">
        <f t="shared" si="25"/>
        <v>12.489749999999999</v>
      </c>
      <c r="AO7" s="40">
        <f t="shared" si="26"/>
        <v>0</v>
      </c>
      <c r="AP7" s="40">
        <f t="shared" si="27"/>
        <v>0</v>
      </c>
      <c r="AQ7" s="39">
        <f t="shared" si="28"/>
        <v>1</v>
      </c>
      <c r="AR7" s="40">
        <v>0.06</v>
      </c>
      <c r="AS7" s="41">
        <f t="shared" si="29"/>
        <v>0.19983599999999999</v>
      </c>
      <c r="AT7" s="40">
        <f t="shared" si="30"/>
        <v>0</v>
      </c>
      <c r="AU7" s="40">
        <f t="shared" si="31"/>
        <v>0</v>
      </c>
      <c r="AV7" s="39">
        <f t="shared" si="32"/>
        <v>1</v>
      </c>
      <c r="AW7" s="40">
        <v>28.12</v>
      </c>
      <c r="AX7" s="41">
        <f t="shared" si="33"/>
        <v>93.656472000000008</v>
      </c>
      <c r="AY7" s="40">
        <f t="shared" si="34"/>
        <v>0</v>
      </c>
      <c r="AZ7" s="40">
        <f t="shared" si="35"/>
        <v>0</v>
      </c>
      <c r="BA7" s="39">
        <f t="shared" si="36"/>
        <v>1</v>
      </c>
      <c r="BB7" s="41">
        <v>0.557394478181932</v>
      </c>
      <c r="BC7" s="41">
        <f t="shared" si="37"/>
        <v>1.8564580490327427</v>
      </c>
      <c r="BD7" s="41">
        <f t="shared" si="38"/>
        <v>0</v>
      </c>
      <c r="BE7" s="41">
        <f t="shared" si="39"/>
        <v>0</v>
      </c>
      <c r="BF7" s="42">
        <f t="shared" si="40"/>
        <v>1</v>
      </c>
    </row>
    <row r="8" spans="1:58" ht="13">
      <c r="A8" s="46"/>
      <c r="B8" s="46"/>
      <c r="C8" s="47"/>
      <c r="D8" s="48"/>
      <c r="E8" s="45" t="s">
        <v>98</v>
      </c>
      <c r="F8" s="49"/>
      <c r="G8" s="50"/>
      <c r="H8" s="39"/>
      <c r="I8" s="51"/>
      <c r="J8" s="52">
        <f>SUM(J2:J6)</f>
        <v>8.4644474923032481E-2</v>
      </c>
      <c r="K8" s="40"/>
      <c r="L8" s="51">
        <f>SUM(L2:L7)</f>
        <v>-9.6693250769675256E-3</v>
      </c>
      <c r="M8" s="49"/>
      <c r="N8" s="53"/>
      <c r="O8" s="52">
        <f>SUM(O2:O6)</f>
        <v>4.2247083544137158</v>
      </c>
      <c r="P8" s="51"/>
      <c r="Q8" s="51">
        <f>SUM(Q2:Q7)</f>
        <v>-6.0790742955862829</v>
      </c>
      <c r="R8" s="49"/>
      <c r="S8" s="50"/>
      <c r="T8" s="52">
        <f>SUM(T2:T6)</f>
        <v>1.0211367251814472</v>
      </c>
      <c r="U8" s="51"/>
      <c r="V8" s="51">
        <f>SUM(V2:V7)</f>
        <v>0.19589097518144716</v>
      </c>
      <c r="W8" s="49"/>
      <c r="X8" s="50"/>
      <c r="Y8" s="52">
        <f>SUM(Y2:Y6)</f>
        <v>1.7404601032607818</v>
      </c>
      <c r="Z8" s="51"/>
      <c r="AA8" s="51">
        <f>SUM(AA2:AA7)</f>
        <v>-0.1693943467392183</v>
      </c>
      <c r="AB8" s="49"/>
      <c r="AC8" s="50"/>
      <c r="AD8" s="52">
        <f>SUM(AD2:AD6)</f>
        <v>1.9784857362792776</v>
      </c>
      <c r="AE8" s="51"/>
      <c r="AF8" s="51">
        <f>SUM(AF2:AF7)</f>
        <v>-1.2753403637207221</v>
      </c>
      <c r="AG8" s="49"/>
      <c r="AH8" s="50"/>
      <c r="AI8" s="52">
        <f>SUM(AI2:AI6)</f>
        <v>13.671790329243533</v>
      </c>
      <c r="AJ8" s="51"/>
      <c r="AK8" s="51">
        <f>SUM(AK2:AK7)</f>
        <v>-9.5294044707564645</v>
      </c>
      <c r="AL8" s="49"/>
      <c r="AM8" s="50"/>
      <c r="AN8" s="52">
        <f>SUM(AN2:AN6)</f>
        <v>4.7286517534683057</v>
      </c>
      <c r="AO8" s="51"/>
      <c r="AP8" s="51">
        <f>SUM(AP2:AP7)</f>
        <v>-4.1132669965316921</v>
      </c>
      <c r="AQ8" s="49"/>
      <c r="AR8" s="50"/>
      <c r="AS8" s="52">
        <f>SUM(AS2:AS6)</f>
        <v>7.3720248699550323E-2</v>
      </c>
      <c r="AT8" s="51"/>
      <c r="AU8" s="51">
        <f>SUM(AU2:AU7)</f>
        <v>-6.7750451300449668E-2</v>
      </c>
      <c r="AV8" s="49"/>
      <c r="AW8" s="50"/>
      <c r="AX8" s="52">
        <f>SUM(AX2:AX6)</f>
        <v>59.503828065997219</v>
      </c>
      <c r="AY8" s="51"/>
      <c r="AZ8" s="51">
        <f>SUM(AZ2:AZ7)</f>
        <v>-6.7987733340027878</v>
      </c>
      <c r="BA8" s="49"/>
      <c r="BB8" s="54"/>
      <c r="BC8" s="52">
        <f>SUM(BC2:BC6)</f>
        <v>0.68462186554811244</v>
      </c>
      <c r="BD8" s="55"/>
      <c r="BE8" s="41"/>
      <c r="BF8" s="42"/>
    </row>
    <row r="9" spans="1:58" ht="13">
      <c r="A9" s="56"/>
      <c r="B9" s="56"/>
      <c r="C9" s="57"/>
      <c r="D9" s="58"/>
      <c r="E9" s="59" t="s">
        <v>99</v>
      </c>
      <c r="F9" s="60"/>
      <c r="G9" s="61"/>
      <c r="H9" s="62"/>
      <c r="I9" s="63"/>
      <c r="J9" s="64">
        <f>E7*F7*I7/100</f>
        <v>9.4313799999999989E-2</v>
      </c>
      <c r="K9" s="65"/>
      <c r="L9" s="63"/>
      <c r="M9" s="60"/>
      <c r="N9" s="63"/>
      <c r="O9" s="64">
        <f>E7*F7*N7/100</f>
        <v>10.303782649999999</v>
      </c>
      <c r="P9" s="63"/>
      <c r="Q9" s="63"/>
      <c r="R9" s="60"/>
      <c r="S9" s="61"/>
      <c r="T9" s="64">
        <f>E7*F7*S7/100</f>
        <v>0.82524574999999989</v>
      </c>
      <c r="U9" s="63"/>
      <c r="V9" s="63"/>
      <c r="W9" s="60"/>
      <c r="X9" s="61"/>
      <c r="Y9" s="64">
        <f>E7*F7*X7/100</f>
        <v>1.9098544500000001</v>
      </c>
      <c r="Z9" s="63"/>
      <c r="AA9" s="63"/>
      <c r="AB9" s="60"/>
      <c r="AC9" s="61"/>
      <c r="AD9" s="64">
        <f>E7*F7*AC7/100</f>
        <v>3.2538260999999995</v>
      </c>
      <c r="AE9" s="63"/>
      <c r="AF9" s="63"/>
      <c r="AG9" s="60"/>
      <c r="AH9" s="61"/>
      <c r="AI9" s="64">
        <f>E7*F7*AH7/100</f>
        <v>23.2011948</v>
      </c>
      <c r="AJ9" s="63"/>
      <c r="AK9" s="63"/>
      <c r="AL9" s="60"/>
      <c r="AM9" s="61"/>
      <c r="AN9" s="64">
        <f>E7*F7*AM7/100</f>
        <v>8.8419187499999996</v>
      </c>
      <c r="AO9" s="63"/>
      <c r="AP9" s="63"/>
      <c r="AQ9" s="60"/>
      <c r="AR9" s="61"/>
      <c r="AS9" s="64">
        <f>E7*F7*AR7/100</f>
        <v>0.14147069999999998</v>
      </c>
      <c r="AT9" s="63"/>
      <c r="AU9" s="63"/>
      <c r="AV9" s="60"/>
      <c r="AW9" s="61"/>
      <c r="AX9" s="64">
        <f>E7*F7*AW7/100</f>
        <v>66.3026014</v>
      </c>
      <c r="AY9" s="63"/>
      <c r="AZ9" s="63"/>
      <c r="BA9" s="60"/>
      <c r="BB9" s="66"/>
      <c r="BC9" s="67">
        <f>E7*F7*BB7/100</f>
        <v>1.3142497834088775</v>
      </c>
      <c r="BD9" s="66"/>
      <c r="BE9" s="64"/>
      <c r="BF9" s="68"/>
    </row>
    <row r="10" spans="1:58" ht="13">
      <c r="A10" s="69"/>
      <c r="B10" s="69"/>
      <c r="C10" s="70"/>
      <c r="D10" s="71"/>
      <c r="E10" s="72" t="s">
        <v>100</v>
      </c>
      <c r="F10" s="73"/>
      <c r="G10" s="74"/>
      <c r="H10" s="75"/>
      <c r="I10" s="76"/>
      <c r="J10" s="77">
        <f>((J9-J8)/J9)*100</f>
        <v>10.252290838633911</v>
      </c>
      <c r="K10" s="78"/>
      <c r="L10" s="76"/>
      <c r="M10" s="73"/>
      <c r="N10" s="76"/>
      <c r="O10" s="77">
        <f>(O9-O8)/O9*100</f>
        <v>58.998471746551097</v>
      </c>
      <c r="P10" s="76"/>
      <c r="Q10" s="76"/>
      <c r="R10" s="73"/>
      <c r="S10" s="74"/>
      <c r="T10" s="79">
        <f>(T9-T8)/T9*100</f>
        <v>-23.737289792943166</v>
      </c>
      <c r="U10" s="76"/>
      <c r="V10" s="76"/>
      <c r="W10" s="73"/>
      <c r="X10" s="74"/>
      <c r="Y10" s="79">
        <f>(Y9-Y8)/Y9*100</f>
        <v>8.8694898576809482</v>
      </c>
      <c r="Z10" s="76"/>
      <c r="AA10" s="76"/>
      <c r="AB10" s="73"/>
      <c r="AC10" s="74"/>
      <c r="AD10" s="79">
        <f>(AD9-AD8)/AD9*100</f>
        <v>39.195099077996886</v>
      </c>
      <c r="AE10" s="76"/>
      <c r="AF10" s="76"/>
      <c r="AG10" s="73"/>
      <c r="AH10" s="74"/>
      <c r="AI10" s="79">
        <f>(AI9-AI8)/AI9*100</f>
        <v>41.072904015945191</v>
      </c>
      <c r="AJ10" s="76"/>
      <c r="AK10" s="76"/>
      <c r="AL10" s="73"/>
      <c r="AM10" s="74"/>
      <c r="AN10" s="79">
        <f>(AN9-AN8)/AN9*100</f>
        <v>46.520072314979075</v>
      </c>
      <c r="AO10" s="76"/>
      <c r="AP10" s="76"/>
      <c r="AQ10" s="73"/>
      <c r="AR10" s="74"/>
      <c r="AS10" s="79">
        <f>(AS9-AS8)/AS9*100</f>
        <v>47.890094062197804</v>
      </c>
      <c r="AT10" s="76"/>
      <c r="AU10" s="76"/>
      <c r="AV10" s="73"/>
      <c r="AW10" s="74"/>
      <c r="AX10" s="79">
        <f>(AX9-AX8)/AX9*100</f>
        <v>10.254157741090959</v>
      </c>
      <c r="AY10" s="76"/>
      <c r="AZ10" s="76"/>
      <c r="BA10" s="73"/>
      <c r="BB10" s="80"/>
      <c r="BC10" s="81">
        <f>(BC9-BC8)/BC9*100</f>
        <v>47.907781748127626</v>
      </c>
      <c r="BD10" s="82"/>
      <c r="BE10" s="79"/>
      <c r="BF10" s="83"/>
    </row>
    <row r="11" spans="1:58">
      <c r="B11">
        <v>0</v>
      </c>
      <c r="C11">
        <v>-1</v>
      </c>
    </row>
    <row r="12" spans="1:58">
      <c r="B12">
        <v>0</v>
      </c>
      <c r="C12">
        <v>0</v>
      </c>
    </row>
    <row r="13" spans="1:58">
      <c r="B13">
        <v>0</v>
      </c>
      <c r="C13">
        <v>1</v>
      </c>
    </row>
  </sheetData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5"/>
  <sheetViews>
    <sheetView workbookViewId="0">
      <selection activeCell="N49" sqref="N49"/>
    </sheetView>
  </sheetViews>
  <sheetFormatPr defaultRowHeight="12.5"/>
  <cols>
    <col min="2" max="2" width="9.81640625" bestFit="1" customWidth="1"/>
    <col min="3" max="3" width="9.81640625" customWidth="1"/>
    <col min="4" max="4" width="5.7265625" customWidth="1"/>
    <col min="5" max="5" width="9.54296875" bestFit="1" customWidth="1"/>
    <col min="6" max="7" width="9.26953125" bestFit="1" customWidth="1"/>
    <col min="8" max="8" width="5.7265625" customWidth="1"/>
    <col min="9" max="11" width="9.26953125" bestFit="1" customWidth="1"/>
    <col min="12" max="12" width="5.7265625" customWidth="1"/>
    <col min="13" max="15" width="9.26953125" bestFit="1" customWidth="1"/>
  </cols>
  <sheetData>
    <row r="1" spans="1:15" s="85" customFormat="1" ht="13" thickBot="1">
      <c r="A1" s="23" t="s">
        <v>45</v>
      </c>
      <c r="B1" s="22" t="s">
        <v>106</v>
      </c>
      <c r="C1" s="22"/>
      <c r="D1" s="22"/>
      <c r="E1" s="22" t="s">
        <v>86</v>
      </c>
      <c r="F1" s="22" t="s">
        <v>88</v>
      </c>
      <c r="G1" s="22"/>
      <c r="H1" s="22"/>
      <c r="I1" s="22" t="s">
        <v>76</v>
      </c>
      <c r="J1" s="22" t="s">
        <v>78</v>
      </c>
      <c r="K1" s="22"/>
      <c r="L1" s="22"/>
      <c r="M1" s="22" t="s">
        <v>51</v>
      </c>
      <c r="N1" s="22" t="s">
        <v>53</v>
      </c>
      <c r="O1" s="22"/>
    </row>
    <row r="2" spans="1:15">
      <c r="A2" s="39">
        <v>0.28470588235294114</v>
      </c>
      <c r="B2" s="12">
        <v>0</v>
      </c>
      <c r="C2" s="12">
        <v>0</v>
      </c>
      <c r="D2" s="12"/>
      <c r="E2" s="20">
        <v>33.969617228616499</v>
      </c>
      <c r="F2" s="20">
        <v>-3.3581302173072647E-2</v>
      </c>
      <c r="G2" s="86">
        <v>0</v>
      </c>
      <c r="H2" s="20"/>
      <c r="I2" s="20">
        <v>2.0634391171374418</v>
      </c>
      <c r="J2" s="20">
        <v>-0.55979965501067919</v>
      </c>
      <c r="K2" s="20"/>
      <c r="L2" s="20"/>
      <c r="M2" s="20">
        <v>2.1998980837624078</v>
      </c>
      <c r="N2" s="20">
        <v>-0.59727266201145857</v>
      </c>
      <c r="O2" s="20"/>
    </row>
    <row r="3" spans="1:15">
      <c r="A3" s="39">
        <v>0.28470588235294114</v>
      </c>
      <c r="B3" s="12">
        <v>21</v>
      </c>
      <c r="C3" s="12">
        <v>0</v>
      </c>
      <c r="D3" s="12"/>
      <c r="E3" s="20">
        <v>33.969617228616499</v>
      </c>
      <c r="F3" s="20">
        <v>-3.3581302173072647E-2</v>
      </c>
      <c r="G3" s="86">
        <v>0</v>
      </c>
      <c r="H3" s="20"/>
      <c r="I3" s="20">
        <v>2.0634391171374418</v>
      </c>
      <c r="J3" s="20">
        <v>-0.55979965501067919</v>
      </c>
      <c r="K3" s="20"/>
      <c r="L3" s="20"/>
      <c r="M3" s="20">
        <v>2.1998980837624078</v>
      </c>
      <c r="N3" s="20">
        <v>-0.59727266201145857</v>
      </c>
    </row>
    <row r="4" spans="1:15">
      <c r="A4" s="39">
        <v>0.59090909090909105</v>
      </c>
      <c r="B4" s="12">
        <v>21</v>
      </c>
      <c r="C4" s="12">
        <v>0</v>
      </c>
      <c r="D4" s="12"/>
      <c r="E4" s="20">
        <v>33.219183858323049</v>
      </c>
      <c r="F4" s="20">
        <v>-1.5552872856713917E-2</v>
      </c>
      <c r="G4" s="86">
        <v>0</v>
      </c>
      <c r="H4" s="20"/>
      <c r="I4" s="20">
        <v>2.4743595408928636</v>
      </c>
      <c r="J4" s="20">
        <v>-0.45014232424603029</v>
      </c>
      <c r="K4" s="20"/>
      <c r="L4" s="20"/>
      <c r="M4" s="20">
        <v>2.2829131057911782</v>
      </c>
      <c r="N4" s="20">
        <v>-0.56466187913974486</v>
      </c>
      <c r="O4" s="20"/>
    </row>
    <row r="5" spans="1:15">
      <c r="A5" s="39">
        <v>0.59090909090909105</v>
      </c>
      <c r="B5" s="12">
        <v>47</v>
      </c>
      <c r="C5" s="12">
        <v>0</v>
      </c>
      <c r="D5" s="12"/>
      <c r="E5" s="20">
        <v>33.219183858323049</v>
      </c>
      <c r="F5" s="20">
        <v>-1.5552872856713917E-2</v>
      </c>
      <c r="G5" s="86">
        <v>0</v>
      </c>
      <c r="H5" s="20"/>
      <c r="I5" s="20">
        <v>2.4743595408928636</v>
      </c>
      <c r="J5" s="20">
        <v>-0.45014232424603029</v>
      </c>
      <c r="K5" s="20"/>
      <c r="L5" s="20"/>
      <c r="M5" s="20">
        <v>2.2829131057911782</v>
      </c>
      <c r="N5" s="20">
        <v>-0.56466187913974486</v>
      </c>
    </row>
    <row r="6" spans="1:15">
      <c r="A6" s="39">
        <v>0.59416058394160576</v>
      </c>
      <c r="B6" s="12">
        <v>47</v>
      </c>
      <c r="C6" s="12">
        <v>0</v>
      </c>
      <c r="D6" s="12"/>
      <c r="E6" s="20">
        <v>33.069097184264358</v>
      </c>
      <c r="F6" s="20">
        <v>-5.9200649096319946E-2</v>
      </c>
      <c r="G6" s="86">
        <v>0</v>
      </c>
      <c r="H6" s="20"/>
      <c r="I6" s="20">
        <v>2.4611040433523663</v>
      </c>
      <c r="J6" s="20">
        <v>-0.47496447075149517</v>
      </c>
      <c r="K6" s="20"/>
      <c r="L6" s="20"/>
      <c r="M6" s="20">
        <v>2.24970709697967</v>
      </c>
      <c r="N6" s="20">
        <v>-0.58815430718907646</v>
      </c>
      <c r="O6" s="20"/>
    </row>
    <row r="7" spans="1:15">
      <c r="A7" s="39">
        <v>0.59416058394160576</v>
      </c>
      <c r="B7" s="12">
        <v>74</v>
      </c>
      <c r="C7" s="12">
        <v>0</v>
      </c>
      <c r="D7" s="12"/>
      <c r="E7" s="20">
        <v>33.069097184264358</v>
      </c>
      <c r="F7" s="20">
        <v>-5.9200649096319946E-2</v>
      </c>
      <c r="G7" s="86">
        <v>0</v>
      </c>
      <c r="H7" s="20"/>
      <c r="I7" s="20">
        <v>2.4611040433523663</v>
      </c>
      <c r="J7" s="20">
        <v>-0.47496447075149517</v>
      </c>
      <c r="K7" s="20"/>
      <c r="L7" s="20"/>
      <c r="M7" s="20">
        <v>2.24970709697967</v>
      </c>
      <c r="N7" s="20">
        <v>-0.58815430718907646</v>
      </c>
    </row>
    <row r="8" spans="1:15">
      <c r="A8" s="39">
        <v>0.2962962962962965</v>
      </c>
      <c r="B8" s="12">
        <v>74</v>
      </c>
      <c r="C8" s="12">
        <v>0</v>
      </c>
      <c r="D8" s="12"/>
      <c r="E8" s="20">
        <v>30.367537051207968</v>
      </c>
      <c r="F8" s="20">
        <v>-0.20005434246857468</v>
      </c>
      <c r="G8" s="86">
        <v>0</v>
      </c>
      <c r="H8" s="20"/>
      <c r="I8" s="20">
        <v>3.0089979416929289</v>
      </c>
      <c r="J8" s="20">
        <v>-0.40563003620880411</v>
      </c>
      <c r="K8" s="20"/>
      <c r="L8" s="20"/>
      <c r="M8" s="20">
        <v>2.407435638834333</v>
      </c>
      <c r="N8" s="20">
        <v>-0.59192547862796285</v>
      </c>
      <c r="O8" s="20"/>
    </row>
    <row r="9" spans="1:15">
      <c r="A9" s="39">
        <v>0.2962962962962965</v>
      </c>
      <c r="B9" s="12">
        <v>99</v>
      </c>
      <c r="C9" s="12">
        <v>0</v>
      </c>
      <c r="D9" s="12"/>
      <c r="E9" s="20">
        <v>30.367537051207968</v>
      </c>
      <c r="F9" s="20">
        <v>-0.20005434246857468</v>
      </c>
      <c r="G9" s="86">
        <v>0</v>
      </c>
      <c r="H9" s="20"/>
      <c r="I9" s="20">
        <v>3.0089979416929289</v>
      </c>
      <c r="J9" s="20">
        <v>-0.40563003620880411</v>
      </c>
      <c r="K9" s="20"/>
      <c r="L9" s="20"/>
      <c r="M9" s="20">
        <v>2.407435638834333</v>
      </c>
      <c r="N9" s="20">
        <v>-0.59192547862796285</v>
      </c>
    </row>
    <row r="10" spans="1:15">
      <c r="A10" s="39">
        <v>0.31756756756756777</v>
      </c>
      <c r="B10" s="12">
        <v>99</v>
      </c>
      <c r="C10" s="12">
        <v>0</v>
      </c>
      <c r="D10" s="12"/>
      <c r="E10" s="20">
        <v>32.16857713991223</v>
      </c>
      <c r="F10" s="20">
        <v>-0.18287499644604177</v>
      </c>
      <c r="G10" s="86">
        <v>0</v>
      </c>
      <c r="H10" s="20"/>
      <c r="I10" s="20">
        <v>2.902953961368949</v>
      </c>
      <c r="J10" s="20">
        <v>-0.44705638831067629</v>
      </c>
      <c r="K10" s="20"/>
      <c r="L10" s="20"/>
      <c r="M10" s="20">
        <v>2.407435638834333</v>
      </c>
      <c r="N10" s="20">
        <v>-0.6064995686769642</v>
      </c>
      <c r="O10" s="20"/>
    </row>
    <row r="11" spans="1:15">
      <c r="A11" s="39">
        <v>0.31756756756756777</v>
      </c>
      <c r="B11" s="12">
        <v>122</v>
      </c>
      <c r="C11" s="12">
        <v>0</v>
      </c>
      <c r="D11" s="12"/>
      <c r="E11" s="20">
        <v>32.16857713991223</v>
      </c>
      <c r="F11" s="20">
        <v>-0.18287499644604177</v>
      </c>
      <c r="G11" s="86">
        <v>0</v>
      </c>
      <c r="H11" s="20"/>
      <c r="I11" s="20">
        <v>2.902953961368949</v>
      </c>
      <c r="J11" s="20">
        <v>-0.44705638831067629</v>
      </c>
      <c r="K11" s="20"/>
      <c r="L11" s="20"/>
      <c r="M11" s="20">
        <v>2.407435638834333</v>
      </c>
      <c r="N11" s="20">
        <v>-0.6064995686769642</v>
      </c>
    </row>
    <row r="12" spans="1:15">
      <c r="E12" s="20">
        <v>28.12</v>
      </c>
      <c r="F12" s="20">
        <v>0</v>
      </c>
      <c r="G12" s="86">
        <v>0</v>
      </c>
      <c r="H12" s="20"/>
      <c r="I12" s="20">
        <v>3.75</v>
      </c>
      <c r="J12" s="20">
        <v>0</v>
      </c>
      <c r="K12" s="20"/>
      <c r="L12" s="20"/>
      <c r="M12" s="20">
        <v>4.37</v>
      </c>
      <c r="N12" s="20">
        <v>0</v>
      </c>
      <c r="O12" s="20"/>
    </row>
    <row r="13" spans="1:15">
      <c r="E13" s="20">
        <v>28.12</v>
      </c>
      <c r="F13" s="20">
        <v>0</v>
      </c>
      <c r="G13" s="86">
        <v>0</v>
      </c>
      <c r="H13" s="20"/>
      <c r="I13" s="20">
        <v>3.75</v>
      </c>
      <c r="J13" s="20">
        <v>0</v>
      </c>
      <c r="K13" s="20"/>
      <c r="L13" s="20"/>
      <c r="M13" s="20">
        <v>4.37</v>
      </c>
      <c r="N13" s="20">
        <v>0</v>
      </c>
    </row>
    <row r="14" spans="1:15">
      <c r="G14" s="20"/>
      <c r="H14" s="20"/>
      <c r="I14" s="20"/>
      <c r="J14" s="20"/>
      <c r="K14" s="20"/>
      <c r="L14" s="20"/>
      <c r="M14" s="20"/>
      <c r="N14" s="20"/>
      <c r="O14" s="20"/>
    </row>
    <row r="40" spans="1:5" ht="57" customHeight="1">
      <c r="A40" s="87" t="s">
        <v>112</v>
      </c>
      <c r="B40" s="88"/>
      <c r="C40" s="88"/>
      <c r="E40" s="19" t="s">
        <v>109</v>
      </c>
    </row>
    <row r="41" spans="1:5">
      <c r="E41" s="19" t="s">
        <v>111</v>
      </c>
    </row>
    <row r="42" spans="1:5">
      <c r="E42" s="19" t="s">
        <v>110</v>
      </c>
    </row>
    <row r="43" spans="1:5">
      <c r="E43" s="19" t="s">
        <v>113</v>
      </c>
    </row>
    <row r="45" spans="1:5">
      <c r="E45" s="19" t="s">
        <v>114</v>
      </c>
    </row>
  </sheetData>
  <mergeCells count="1">
    <mergeCell ref="A40:C4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 elem</vt:lpstr>
      <vt:lpstr>Mass Balance</vt:lpstr>
      <vt:lpstr>Figures</vt:lpstr>
    </vt:vector>
  </TitlesOfParts>
  <Company>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suellen</dc:creator>
  <cp:lastModifiedBy>gkelly</cp:lastModifiedBy>
  <dcterms:created xsi:type="dcterms:W3CDTF">2008-02-06T21:54:52Z</dcterms:created>
  <dcterms:modified xsi:type="dcterms:W3CDTF">2010-07-21T17:39:06Z</dcterms:modified>
</cp:coreProperties>
</file>